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peter\Documents\VF\"/>
    </mc:Choice>
  </mc:AlternateContent>
  <xr:revisionPtr revIDLastSave="0" documentId="13_ncr:1_{8CD4930F-48C2-4FC2-954B-FE0ACD3077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počet" sheetId="1" r:id="rId1"/>
  </sheets>
  <definedNames>
    <definedName name="_xlnm.Print_Area" localSheetId="0">Výpočet!$A$1:$G$88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B163" i="1"/>
  <c r="B141" i="1" s="1"/>
  <c r="B179" i="1" l="1"/>
  <c r="B186" i="1" l="1"/>
  <c r="B182" i="1"/>
  <c r="B176" i="1"/>
  <c r="B139" i="1"/>
  <c r="B138" i="1"/>
  <c r="B137" i="1"/>
  <c r="B133" i="1"/>
  <c r="B131" i="1"/>
  <c r="B114" i="1"/>
  <c r="B113" i="1"/>
  <c r="B101" i="1"/>
  <c r="C30" i="1" l="1"/>
  <c r="D5" i="1" l="1"/>
  <c r="G3" i="1"/>
  <c r="E5" i="1" l="1"/>
  <c r="C5" i="1"/>
  <c r="A19" i="1" l="1"/>
  <c r="C36" i="1" l="1"/>
  <c r="C35" i="1"/>
  <c r="D20" i="1" l="1"/>
  <c r="C28" i="1" l="1"/>
  <c r="C38" i="1"/>
  <c r="C39" i="1"/>
  <c r="D4" i="1" l="1"/>
  <c r="C32" i="1" l="1"/>
  <c r="D7" i="1"/>
  <c r="D48" i="1"/>
  <c r="C48" i="1" s="1"/>
  <c r="D47" i="1"/>
  <c r="D46" i="1"/>
  <c r="D45" i="1"/>
  <c r="D44" i="1"/>
  <c r="C44" i="1" s="1"/>
  <c r="D43" i="1"/>
  <c r="C43" i="1"/>
  <c r="C42" i="1"/>
  <c r="D42" i="1" s="1"/>
  <c r="A42" i="1"/>
  <c r="C41" i="1"/>
  <c r="D41" i="1" s="1"/>
  <c r="D40" i="1"/>
  <c r="D39" i="1"/>
  <c r="D38" i="1"/>
  <c r="D37" i="1"/>
  <c r="D35" i="1"/>
  <c r="D34" i="1"/>
  <c r="C29" i="1"/>
  <c r="D29" i="1" s="1"/>
  <c r="D28" i="1"/>
  <c r="D26" i="1"/>
  <c r="C26" i="1" s="1"/>
  <c r="D25" i="1"/>
  <c r="C25" i="1" s="1"/>
  <c r="C23" i="1"/>
  <c r="D23" i="1" s="1"/>
  <c r="A23" i="1"/>
  <c r="C22" i="1"/>
  <c r="D22" i="1" s="1"/>
  <c r="A22" i="1"/>
  <c r="D21" i="1"/>
  <c r="D18" i="1"/>
  <c r="C18" i="1"/>
  <c r="A18" i="1"/>
  <c r="C17" i="1"/>
  <c r="D17" i="1" s="1"/>
  <c r="C16" i="1"/>
  <c r="D16" i="1" s="1"/>
  <c r="D15" i="1"/>
  <c r="D13" i="1"/>
  <c r="A13" i="1"/>
  <c r="D12" i="1"/>
  <c r="A12" i="1"/>
  <c r="D11" i="1"/>
  <c r="A11" i="1"/>
  <c r="D10" i="1"/>
  <c r="D9" i="1"/>
  <c r="D6" i="1"/>
  <c r="E20" i="1"/>
  <c r="A3" i="1"/>
  <c r="J66" i="1" l="1"/>
  <c r="D32" i="1"/>
  <c r="E32" i="1" s="1"/>
  <c r="D36" i="1"/>
  <c r="E36" i="1" s="1"/>
  <c r="C6" i="1"/>
  <c r="C9" i="1"/>
  <c r="E17" i="1"/>
  <c r="E23" i="1"/>
  <c r="E37" i="1"/>
  <c r="C11" i="1"/>
  <c r="E39" i="1"/>
  <c r="E28" i="1"/>
  <c r="C4" i="1"/>
  <c r="E12" i="1"/>
  <c r="E18" i="1"/>
  <c r="E40" i="1"/>
  <c r="E21" i="1"/>
  <c r="E29" i="1"/>
  <c r="E6" i="1"/>
  <c r="E35" i="1"/>
  <c r="E10" i="1"/>
  <c r="E15" i="1"/>
  <c r="E45" i="1"/>
  <c r="A8" i="1"/>
  <c r="E16" i="1"/>
  <c r="E22" i="1"/>
  <c r="E46" i="1"/>
  <c r="E34" i="1"/>
  <c r="C33" i="1"/>
  <c r="D33" i="1" s="1"/>
  <c r="E33" i="1" s="1"/>
  <c r="D30" i="1"/>
  <c r="E30" i="1" s="1"/>
  <c r="E4" i="1"/>
  <c r="A7" i="1"/>
  <c r="A9" i="1"/>
  <c r="C10" i="1"/>
  <c r="E11" i="1"/>
  <c r="C12" i="1"/>
  <c r="C21" i="1"/>
  <c r="E38" i="1"/>
  <c r="E41" i="1"/>
  <c r="E42" i="1"/>
  <c r="E43" i="1"/>
  <c r="E44" i="1"/>
  <c r="C46" i="1"/>
  <c r="E47" i="1"/>
  <c r="E48" i="1"/>
  <c r="D31" i="1"/>
  <c r="E31" i="1" s="1"/>
  <c r="E7" i="1"/>
  <c r="C7" i="1"/>
  <c r="G4" i="1"/>
  <c r="C13" i="1"/>
  <c r="E26" i="1"/>
  <c r="E9" i="1"/>
  <c r="E13" i="1"/>
  <c r="E25" i="1"/>
  <c r="D24" i="1"/>
  <c r="A10" i="1"/>
  <c r="D8" i="1"/>
  <c r="C80" i="1" s="1"/>
  <c r="C45" i="1"/>
  <c r="C47" i="1"/>
  <c r="C14" i="1"/>
  <c r="D80" i="1" l="1"/>
  <c r="J65" i="1"/>
  <c r="J68" i="1"/>
  <c r="D14" i="1"/>
  <c r="G5" i="1"/>
  <c r="G6" i="1" s="1"/>
  <c r="G7" i="1" s="1"/>
  <c r="G8" i="1" s="1"/>
  <c r="G9" i="1" s="1"/>
  <c r="G10" i="1" s="1"/>
  <c r="G11" i="1" s="1"/>
  <c r="G12" i="1" s="1"/>
  <c r="G13" i="1" s="1"/>
  <c r="E8" i="1"/>
  <c r="C8" i="1"/>
  <c r="N13" i="1" s="1"/>
  <c r="C24" i="1"/>
  <c r="E24" i="1"/>
  <c r="J15" i="1" l="1"/>
  <c r="E14" i="1"/>
  <c r="C71" i="1"/>
  <c r="L13" i="1"/>
  <c r="M13" i="1" s="1"/>
  <c r="C19" i="1"/>
  <c r="G14" i="1"/>
  <c r="G15" i="1" s="1"/>
  <c r="G16" i="1" s="1"/>
  <c r="G17" i="1" s="1"/>
  <c r="G18" i="1" s="1"/>
  <c r="I13" i="1"/>
  <c r="J13" i="1" s="1"/>
  <c r="J14" i="1" s="1"/>
  <c r="D71" i="1" l="1"/>
  <c r="D19" i="1"/>
  <c r="G19" i="1" l="1"/>
  <c r="C81" i="1"/>
  <c r="E19" i="1"/>
  <c r="D81" i="1" s="1"/>
  <c r="G20" i="1"/>
  <c r="G21" i="1" s="1"/>
  <c r="I21" i="1" l="1"/>
  <c r="G22" i="1"/>
  <c r="G23" i="1" s="1"/>
  <c r="G24" i="1" s="1"/>
  <c r="G25" i="1" s="1"/>
  <c r="G26" i="1" s="1"/>
  <c r="D27" i="1" s="1"/>
  <c r="J21" i="1"/>
  <c r="E27" i="1" l="1"/>
  <c r="D82" i="1" s="1"/>
  <c r="J67" i="1"/>
  <c r="C82" i="1"/>
  <c r="C27" i="1"/>
  <c r="G27" i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I48" i="1" s="1"/>
  <c r="D54" i="1" l="1"/>
  <c r="D57" i="1"/>
  <c r="D53" i="1"/>
  <c r="D52" i="1"/>
  <c r="D50" i="1"/>
  <c r="D56" i="1"/>
  <c r="D49" i="1"/>
  <c r="D51" i="1"/>
  <c r="D55" i="1"/>
  <c r="D58" i="1"/>
  <c r="J48" i="1"/>
  <c r="G49" i="1" l="1"/>
  <c r="C83" i="1"/>
  <c r="C84" i="1" s="1"/>
  <c r="C73" i="1"/>
  <c r="G50" i="1"/>
  <c r="G51" i="1" s="1"/>
  <c r="G52" i="1" s="1"/>
  <c r="G53" i="1" s="1"/>
  <c r="G54" i="1" s="1"/>
  <c r="G55" i="1" s="1"/>
  <c r="G56" i="1" s="1"/>
  <c r="G57" i="1" s="1"/>
  <c r="G58" i="1" s="1"/>
  <c r="E52" i="1"/>
  <c r="D74" i="1" s="1"/>
  <c r="C52" i="1"/>
  <c r="C74" i="1"/>
  <c r="E49" i="1"/>
  <c r="C49" i="1"/>
  <c r="C72" i="1"/>
  <c r="D60" i="1"/>
  <c r="E60" i="1" s="1"/>
  <c r="C57" i="1"/>
  <c r="E57" i="1"/>
  <c r="E51" i="1"/>
  <c r="C51" i="1"/>
  <c r="C53" i="1"/>
  <c r="E53" i="1"/>
  <c r="E58" i="1"/>
  <c r="C58" i="1"/>
  <c r="E56" i="1"/>
  <c r="C56" i="1"/>
  <c r="E55" i="1"/>
  <c r="C55" i="1"/>
  <c r="E50" i="1"/>
  <c r="C50" i="1"/>
  <c r="C70" i="1"/>
  <c r="E54" i="1"/>
  <c r="C54" i="1"/>
  <c r="D72" i="1" l="1"/>
  <c r="D83" i="1"/>
  <c r="D84" i="1" s="1"/>
  <c r="D73" i="1"/>
  <c r="D70" i="1"/>
  <c r="C75" i="1"/>
  <c r="I58" i="1"/>
  <c r="J58" i="1" s="1"/>
  <c r="D59" i="1"/>
  <c r="D75" i="1" l="1"/>
  <c r="G59" i="1"/>
  <c r="J70" i="1"/>
  <c r="I59" i="1"/>
  <c r="E83" i="1"/>
  <c r="E81" i="1"/>
  <c r="E80" i="1"/>
  <c r="E82" i="1"/>
  <c r="E59" i="1"/>
  <c r="E61" i="1" s="1"/>
  <c r="D61" i="1"/>
  <c r="J59" i="1" l="1"/>
  <c r="J69" i="1"/>
  <c r="K67" i="1"/>
  <c r="K65" i="1"/>
  <c r="K66" i="1"/>
  <c r="K68" i="1"/>
  <c r="K70" i="1"/>
  <c r="I61" i="1"/>
  <c r="J61" i="1" s="1"/>
  <c r="E84" i="1"/>
  <c r="E71" i="1"/>
  <c r="E74" i="1"/>
  <c r="E72" i="1"/>
  <c r="E73" i="1"/>
  <c r="E70" i="1"/>
  <c r="K69" i="1" l="1"/>
  <c r="J71" i="1"/>
  <c r="K61" i="1"/>
  <c r="J60" i="1"/>
  <c r="E75" i="1"/>
</calcChain>
</file>

<file path=xl/sharedStrings.xml><?xml version="1.0" encoding="utf-8"?>
<sst xmlns="http://schemas.openxmlformats.org/spreadsheetml/2006/main" count="513" uniqueCount="335">
  <si>
    <t>Mesačné daňové výdavky občana SR v EUR</t>
  </si>
  <si>
    <t>ekon. charakt. dane</t>
  </si>
  <si>
    <t>efekt. sadzba zdanenia</t>
  </si>
  <si>
    <t>úbytok     peňazí</t>
  </si>
  <si>
    <t>podiel na   mzde</t>
  </si>
  <si>
    <t>príjemca dane</t>
  </si>
  <si>
    <t>zostatok  peňazí</t>
  </si>
  <si>
    <t>Komentáre</t>
  </si>
  <si>
    <t>Príspevok zamestnávateľa na stravovanie</t>
  </si>
  <si>
    <t>príjmová</t>
  </si>
  <si>
    <t>súkr. spol.</t>
  </si>
  <si>
    <t>Odvody do Sociálnej poisťovne</t>
  </si>
  <si>
    <t>štát</t>
  </si>
  <si>
    <r>
      <rPr>
        <u/>
        <sz val="11"/>
        <color indexed="13"/>
        <rFont val="Calibri"/>
        <family val="2"/>
      </rPr>
      <t>http://www.poistovne.sk/30241-sk/ake-poplatky-vas-pri-dochodkovom-sporeni-v-2-pilieri-cakaju.php</t>
    </r>
  </si>
  <si>
    <t>VÚC</t>
  </si>
  <si>
    <t>obec</t>
  </si>
  <si>
    <t>Daň z nehnuteľností (79% priemerný byt 70 m2 + 21% priemerný rodinný dom 120 m2)/m2/rok</t>
  </si>
  <si>
    <t>majetková</t>
  </si>
  <si>
    <t>Daň za psa (400 tis. psov)</t>
  </si>
  <si>
    <t>https://www.finance.sk/178572-dan-za-psa/</t>
  </si>
  <si>
    <t>Koncesionársky poplatok (RTVS)</t>
  </si>
  <si>
    <t>Pokuty, penále, sankcie</t>
  </si>
  <si>
    <t>spotrebná</t>
  </si>
  <si>
    <t>Súdne a správne poplatky</t>
  </si>
  <si>
    <t>Odvod poisťovní</t>
  </si>
  <si>
    <t>Bankový odvod</t>
  </si>
  <si>
    <t>Odvod lotérií a hazardných hier (26% zo zisku)</t>
  </si>
  <si>
    <t>Slovenská pošta, a.s. (kompenzácia na univerzálnu službu)</t>
  </si>
  <si>
    <t>Daň z pridanej hodnoty</t>
  </si>
  <si>
    <t>https://www.slovensko.sk/sk/agendy/agenda/_spotrebna-dan-z-alkoholickych</t>
  </si>
  <si>
    <t>https://www.slovensko.sk/sk/agendy/agenda/_spotrebna-dan-z-tabakovych-vyr</t>
  </si>
  <si>
    <t>https://www.financnasprava.sk/sk/obcania/dane/spotrebne-dane/spotrebne-dane-obcania-ele#SadzbaSDElektrinaUhlieZemnyPlyn</t>
  </si>
  <si>
    <t>Spotrebná daň z minerálnych olejov (15 000 km/ročne/6.5l/100km = 975 litrov/rok)</t>
  </si>
  <si>
    <t>Poplatky za distribúciu ropy (975 litrov/rok)</t>
  </si>
  <si>
    <t>ponechaný starý údaj, aktuálnejší nenájdený</t>
  </si>
  <si>
    <t>Vodné a stočné (priemerná spotreba 110 m3/3 os.domácn./rok)</t>
  </si>
  <si>
    <t>https://www.zsvs.sk/informacie/cena-za-vodne-a-stocne/</t>
  </si>
  <si>
    <t>náhrada poplatku do Recyklačného fondu - závisí od typu auta</t>
  </si>
  <si>
    <t>STK, emisná kontrola (1x za 2 roky)</t>
  </si>
  <si>
    <t>https://www.stkonline.sk/bratislava/</t>
  </si>
  <si>
    <t>Diaľničná nálepka (ročná, os. automobil)</t>
  </si>
  <si>
    <t>Parkovné v mestách (50%)</t>
  </si>
  <si>
    <t>ponechané, nenájdený zdroj, na základe údajov z BA, KE, TT približne môže sedieť</t>
  </si>
  <si>
    <t>to isté ako 42</t>
  </si>
  <si>
    <t>Poplatky obecným príspevkovým organizáciám</t>
  </si>
  <si>
    <t>Cestovné lístky MHD</t>
  </si>
  <si>
    <t>tržby dopravných podnikov z cestovného (BA - 42,6, ZI - 9,4, KE - 11,56) --&gt; odhad za všetky mestá 200mil.EUR, v BA 55% je vo verejnom záujme --&gt; odhad 110 mil.EUR</t>
  </si>
  <si>
    <t>Poplatky ŽSR za prístup k železničnej infraštruktúre</t>
  </si>
  <si>
    <t>Daň z motorových vozidiel</t>
  </si>
  <si>
    <t>podnikat.</t>
  </si>
  <si>
    <t>https://www.podnikajte.sk/dane-a-uctovnictvo/c/1804/category/dan-z-motorovych-vozidiel/article/dan-motorove-vozidla-2015.xhtml
Od 2015 už to je príjem štátu, nie VÚC</t>
  </si>
  <si>
    <t>Elektronický výber mýta (55%)</t>
  </si>
  <si>
    <t>Elektronický výber mýta (45%)</t>
  </si>
  <si>
    <t>Clo (75%)</t>
  </si>
  <si>
    <t>EÚ</t>
  </si>
  <si>
    <t>Clo (25%)</t>
  </si>
  <si>
    <t>Ostatné poplatky a platby podnik. sektora</t>
  </si>
  <si>
    <t>Daň z príjmov právnických osôb + daň z príjmov samostatne zárobkovo činných osôb</t>
  </si>
  <si>
    <t>Odvody do sociálnej poisťovne za samostatne zárobkovo činné osoby</t>
  </si>
  <si>
    <t>Odvody do zdravotnej poistovne za samostatne zárobkovo činné osoby (96,5 %)</t>
  </si>
  <si>
    <t>http://statdat.statistics.sk/cognosext/cgi-bin/cognos.cgi?b_action=cognosViewer&amp;ui.action=run&amp;ui.object=storeID(%22iC47DE059516A434A9A7F9DC5ED37071C%22)&amp;ui.name=Povinn%C3%A9%20soci%C3%A1lne%20poistenie%20-%20pr%C3%ADjmy%20a%20v%C3%BDdavky%20-%20medziro%C4%8Dn%C3%A9%20porovnanie%20%5bso1003qs%5d&amp;run.outputFormat=&amp;run.prompt=true&amp;cv.header=false&amp;ui.backURL=%2fcognosext%2fcps4%2fportlets%2fcommon%2fclose.html&amp;run.outputLocale=sk</t>
  </si>
  <si>
    <t>Odvody do zdravotnej poistovne za samostatne zárobkovo činné osoby (3,5 %)</t>
  </si>
  <si>
    <t>Zaplatené dane</t>
  </si>
  <si>
    <t>Spolu</t>
  </si>
  <si>
    <t>Roman Scherhaufer   © 2013      European Investment Centre       www.eic.eu           Konzervatívny inštitút M. R. Štefánika             www.konzervativizmus.sk</t>
  </si>
  <si>
    <t>Komu a koľko na daniach mesačne platíme:</t>
  </si>
  <si>
    <t>v EUR</t>
  </si>
  <si>
    <t>% zo mzdy</t>
  </si>
  <si>
    <t>% z daní</t>
  </si>
  <si>
    <t>štátu</t>
  </si>
  <si>
    <t>súkrom. spol.</t>
  </si>
  <si>
    <t>spolu</t>
  </si>
  <si>
    <t>Čo a v akej výške štát mesačne zdaňuje:</t>
  </si>
  <si>
    <t>príjem</t>
  </si>
  <si>
    <t>majetok</t>
  </si>
  <si>
    <t>spotrebu</t>
  </si>
  <si>
    <t>podnikanie</t>
  </si>
  <si>
    <t xml:space="preserve">    Roman Scherhaufer   © 2013</t>
  </si>
  <si>
    <t xml:space="preserve">    European Investment Centre       www.eic.eu</t>
  </si>
  <si>
    <t>Konzervatívny inštitút M. R. Štefánika   www.konzervativizmus.sk</t>
  </si>
  <si>
    <t>Priemerná mzda</t>
  </si>
  <si>
    <t>http://statdat.statistics.sk/cognosext/cgi-bin/cognos.cgi?b_action=cognosViewer&amp;ui.action=run&amp;ui.object=storeID(%22i94C7052B240A492FB3BE8C7A487D337B%22)&amp;ui.name=Priemern%C3%A1%20mesa%C4%8Dn%C3%A1%20mzda%20v%20hospod%C3%A1rstve%20SR%20%5Bpr0204qs%5D&amp;run.outputFormat=&amp;run.prompt=true&amp;cv.header=false&amp;ui.backURL=%2Fcognosext%2Fcps4%2Fportlets%2Fcommon%2Fclose.html&amp;run.outputLocale=sk</t>
  </si>
  <si>
    <t>Odvody zamestnávateľa</t>
  </si>
  <si>
    <t>Príspevok na stravné</t>
  </si>
  <si>
    <t>Odvod zamestnávateľa do Soc.poisť.</t>
  </si>
  <si>
    <t>Odvod zamestnanca do Soc.poisť.</t>
  </si>
  <si>
    <t>Časť odvodov prúdiaca do súkromných DSS</t>
  </si>
  <si>
    <t>Poplatok za správu fondu a vedenie účtu DSS</t>
  </si>
  <si>
    <t>Odvod zamestnávateľa do Zdrav.poisť.</t>
  </si>
  <si>
    <t>Odvod zamestnanca do Zdrav.poisť.</t>
  </si>
  <si>
    <t>Časť zdravotných odvodov, ktorú si necháva Zdrav.poisť.</t>
  </si>
  <si>
    <t>Výnos z dane z príjmu FO</t>
  </si>
  <si>
    <t>Počet pracujúcich spolu</t>
  </si>
  <si>
    <t>Podieľ na dani z príjmu FO - štát</t>
  </si>
  <si>
    <t>Podieľ na dani z príjmu FO - VÚC</t>
  </si>
  <si>
    <t>Podieľ na dani z príjmu FO - obec</t>
  </si>
  <si>
    <t>Ekonomicky aktívne obyvateľstvo</t>
  </si>
  <si>
    <t>Nezamestnaní</t>
  </si>
  <si>
    <t>Poberatelia dôchodkov</t>
  </si>
  <si>
    <t>Počet bytov</t>
  </si>
  <si>
    <t>Počet rodinných domov</t>
  </si>
  <si>
    <t>Priemerná plocha bytu</t>
  </si>
  <si>
    <t>Priemerná plocha domu</t>
  </si>
  <si>
    <t>Priemerná sadzba dane - byt</t>
  </si>
  <si>
    <t>Priemerná sadzba dane - dom</t>
  </si>
  <si>
    <t>Počet obyvateľov</t>
  </si>
  <si>
    <t>Daň za psa</t>
  </si>
  <si>
    <t>Daň z príjmov vyberaná zrážkou</t>
  </si>
  <si>
    <t>Úspory obyvateľstva</t>
  </si>
  <si>
    <t>https://www.minv.sk/?celkovy-pocet-evidovanych-vozidiel-v-sr</t>
  </si>
  <si>
    <t>Počet nových automobilov</t>
  </si>
  <si>
    <t>Počet dovezených automobilov</t>
  </si>
  <si>
    <t>Počet automobilov, ktoré zmenili vlastníka</t>
  </si>
  <si>
    <t>Podieľ osobných automobilov</t>
  </si>
  <si>
    <t>Registračná daň za automobil (v EUR)</t>
  </si>
  <si>
    <t>Registrácia zmeny majiteľa vozidla (v EUR)</t>
  </si>
  <si>
    <t>Odvod z lotérií a hazardných hier</t>
  </si>
  <si>
    <t>Spotreba elektriny</t>
  </si>
  <si>
    <t>Cena za distribúciu elektriny - fixný</t>
  </si>
  <si>
    <t>Cena za distribúciu elektriny - variabilný</t>
  </si>
  <si>
    <t>Cena za distribúciu plynu - fixný</t>
  </si>
  <si>
    <t>Cena za distribúciu plynu - variabilný (MWh)</t>
  </si>
  <si>
    <t>Ročná spotreba minerálnych olejov (litrov / rok)</t>
  </si>
  <si>
    <t>Priemerná spotreba vody v m3/3 os.domácnosť./rok</t>
  </si>
  <si>
    <t>Výnosy z predaja diaľničných nálepok</t>
  </si>
  <si>
    <t>Prevádzkovanie železničnej infraštruktúry</t>
  </si>
  <si>
    <t>Produkcia - HDP</t>
  </si>
  <si>
    <t>Výdavky verejnej správy</t>
  </si>
  <si>
    <t>Výnosy z dane z motorových vozidiel</t>
  </si>
  <si>
    <t>Výnosy z elektronického výberu mýta</t>
  </si>
  <si>
    <t>Náklady na elektronický výber mýta</t>
  </si>
  <si>
    <t>https://www.finstat.sk/35919001/zavierka</t>
  </si>
  <si>
    <t>Podieľ tuzemských prepravcov na el.výbere mýta</t>
  </si>
  <si>
    <t>Daň z príjmov právnických osôb</t>
  </si>
  <si>
    <t>Daň z príjmov SZČO</t>
  </si>
  <si>
    <t>Odvody do sociálnej poisťovňe za SZČO</t>
  </si>
  <si>
    <t>Odvody do zdravotnej poisťovne za SZČO</t>
  </si>
  <si>
    <t>Pokuty, penále, sankcie (ŠR)</t>
  </si>
  <si>
    <t>Pokuty z daňovej kontroly</t>
  </si>
  <si>
    <t>Pokuty vyrúbené štátnym dozorom</t>
  </si>
  <si>
    <t>Pokuty ŠOI</t>
  </si>
  <si>
    <t>Pokuty tel.úrad</t>
  </si>
  <si>
    <t>https://www.teleoff.gov.sk/verejne-odpocty-a-vyrocne-spravy/</t>
  </si>
  <si>
    <t>Administratívne poplaky</t>
  </si>
  <si>
    <t>Spotreba plynu v MWh</t>
  </si>
  <si>
    <t>Príjmy Marianum</t>
  </si>
  <si>
    <t>Príjmy ZOO BA</t>
  </si>
  <si>
    <t>Príjmy GMB</t>
  </si>
  <si>
    <t xml:space="preserve">Tržby DPB </t>
  </si>
  <si>
    <t>Tržby DPKE</t>
  </si>
  <si>
    <t>https://www.finstat.sk/31701914</t>
  </si>
  <si>
    <t>Tržby DPZI</t>
  </si>
  <si>
    <t>Tržby DPBB</t>
  </si>
  <si>
    <t>Tržby ostatné DP (odhad)</t>
  </si>
  <si>
    <t>Výber cla</t>
  </si>
  <si>
    <t>Pokuty, penále a iné sankcie (nedaňové príjmy ŠR a transfery)</t>
  </si>
  <si>
    <t>Sadzba DPH</t>
  </si>
  <si>
    <t>Priemerná spotreba piva v litroch na rok</t>
  </si>
  <si>
    <t>Priemerná spotreba liehu v litroch na rok</t>
  </si>
  <si>
    <t>Priemerná spotreba cigariet ks na rok</t>
  </si>
  <si>
    <t>Zostatok peňazí</t>
  </si>
  <si>
    <t>https://www.employment.gov.sk/sk/socialne-poistenie-dochodkovy-system/dochodkovy-system/ii-pilier-starobne-dochodkove-sporenie/prispevky-starobne-dochodkove-sporenie-2.html</t>
  </si>
  <si>
    <t>Výška príspevku na stravovanie</t>
  </si>
  <si>
    <t>http://statdat.statistics.sk/cognosext/cgi-bin/cognos.cgi?b_action=cognosViewer&amp;ui.action=run&amp;ui.object=storeID%28%22i362DCE4D88EC4E13A9EE8526B286D18B%22%29&amp;ui.name=Po%C4%8Det%20obyvate%C4%BEov%20pod%C4%BEa%20pohlavia%20-%20SR%2C%20oblasti%2C%20kraje%2C%20okresy%2C%20mesto%2C%20vidiek%20%28ro%C4%8Dne%29%20%5Bom7102rr%5D&amp;run.outputFormat=&amp;run.prompt=true&amp;cv.header=false&amp;ui.backURL=%2Fcognosext%2Fcps4%2Fportlets%2Fcommon%2Fclose.html&amp;run.outputLocale=sk</t>
  </si>
  <si>
    <t>https://eznamka.sk/selfcare/purchase/?sessionexpired=False&amp;frompayment=False&amp;sessionExpired=false&amp;frompayment=false&amp;screenWidth=1920&amp;agent=mozilla%2F5.0+(windows+nt+10.0%3B+win64%3B+x64)+applewebkit%2F537.36+(khtml%2C+like+gecko)+chrome%2F75.0.3770.100+safari%2F537.36</t>
  </si>
  <si>
    <t>https://www.finstat.sk/00492736/zavierka</t>
  </si>
  <si>
    <t>https://www.finstat.sk/36007099</t>
  </si>
  <si>
    <t>https://www.finstat.sk/36016411</t>
  </si>
  <si>
    <t>Tržby DP Trenčín (odhad)</t>
  </si>
  <si>
    <t>https://www.finance.gov.sk/sk/financie/statne-vykaznictvo/statny-zaverecny-ucet-sr/</t>
  </si>
  <si>
    <t>Návrh štátneho záverečného účtu SR za rok 2018</t>
  </si>
  <si>
    <t>https://www.finstat.sk/00179710</t>
  </si>
  <si>
    <t>finstat - prehľad o organizácii</t>
  </si>
  <si>
    <t>https://finstat.sk/17330190</t>
  </si>
  <si>
    <t>datacube</t>
  </si>
  <si>
    <t>https://www.geotherm.sk/usetrit-za-vodu/</t>
  </si>
  <si>
    <t>https://www.sepsas.sk/Rocenka.asp?kod=496</t>
  </si>
  <si>
    <t>tabuľka</t>
  </si>
  <si>
    <t>https://www.minv.sk/?pocet-novoevidovanych-vozidiel</t>
  </si>
  <si>
    <t>https://www.minv.sk/?pocet-individualne-dovezenych-vozidiel</t>
  </si>
  <si>
    <t>https://www.minv.sk/?pocet-zmien-drzby-vozidiel</t>
  </si>
  <si>
    <t>stránka min. vnútra</t>
  </si>
  <si>
    <t>https://www.socpoist.sk/pocet-vyplacanych-dochodkov--v-mesiacoch-/3150s</t>
  </si>
  <si>
    <t>https://www.financnasprava.sk/_img/pfsedit/Dokumenty_PFS/Zverejnovanie_dok/Sprievodca/Sprievodca_danami/2018/2018.01.12_SPRIEVODCA%20DANAMI_%20DPH.pdf</t>
  </si>
  <si>
    <t>http://www.epi.sk/zz/2004-98#p5</t>
  </si>
  <si>
    <t>http://www.svetdopravy.sk/moznost-podpory-refundacie-spotrebnej-dane-z-mineralnych-olejov-na-uzemi-slovenskej-republiky/</t>
  </si>
  <si>
    <t>https://www.financnasprava.sk/sk/obcania/dane/spotrebne-dane/spotrebne-dane-obacnia-min</t>
  </si>
  <si>
    <t>https://www.spp.sk/sk/domacnosti/elektrina/ceny/cenniky-elektrickej-energie/</t>
  </si>
  <si>
    <t>tabuľka, priemer za krajské mestá -byt</t>
  </si>
  <si>
    <t>???</t>
  </si>
  <si>
    <t>https://www.nbs.sk/sk/statisticke-udaje/financne-institucie/banky/statisticke-udaje-penaznych-financnych-institucii</t>
  </si>
  <si>
    <t>Daňová sadzba (daň z príjmov)</t>
  </si>
  <si>
    <t>Počet pracovných dní (fond pracovného času)</t>
  </si>
  <si>
    <t>https://www.slov-lex.sk/pravne-predpisy/SK/ZZ/2004/43/20190101</t>
  </si>
  <si>
    <t>https://www.slov-lex.sk/pravne-predpisy/SK/ZZ/2004/580/</t>
  </si>
  <si>
    <t>kalkulačka</t>
  </si>
  <si>
    <t>duplicita - riadok 156</t>
  </si>
  <si>
    <t>špecifikácia zdroja</t>
  </si>
  <si>
    <t>poznámky</t>
  </si>
  <si>
    <t>stánka soc. poisťovne</t>
  </si>
  <si>
    <t>Osobitne odvody (banky, poistovne, regulovane odv.)</t>
  </si>
  <si>
    <t>https://www.nbs.sk/sk/statisticke-udaje/financne-institucie/banky/statisticke-udaje-penaznych-financnych-institucii/vklady</t>
  </si>
  <si>
    <t xml:space="preserve">tabuľka, S 14, 15, Domácnosti a neziskové inštitúcie slúžiace domácnostiam celkom (bunka P17), </t>
  </si>
  <si>
    <t>https://www.socpoist.sk/tabulka-platenia-poistneho-od-1-januara-2019/55433s</t>
  </si>
  <si>
    <t>https://www.slov-lex.sk/pravne-predpisy/SK/ZZ/2003/595/20191201.html</t>
  </si>
  <si>
    <t>http://statdat.statistics.sk/cognosext/cgi-bin/cognos.cgi?b_action=cognosViewer&amp;ui.action=run&amp;ui.object=storeID(%22i42A8A014A687495596DC929810349606%22)&amp;ui.name=Pracuj%C3%BAci%20pod%C4%BEa%20veku%20%5Bpr3115qr%5D&amp;run.outputFormat=&amp;run.prompt=true&amp;cv.header=false&amp;ui.backURL=%2Fcognosext%2Fcps4%2Fportlets%2Fcommon%2Fclose.html&amp;run.outputLocale=sk</t>
  </si>
  <si>
    <t>Platiteľ úhrady, ktorý mal nárok na platenie úhrady za služby RTVS v zníženej sadzbe 2,32 eur k 31.12.2019 a v tejto výške ju aj platil (z dôvodu poberania dôchodkových dávok alebo dávok v hmotnej núdzi), je od 1.1.2020 automaticky oslobodený od platenia tejto úhrady.</t>
  </si>
  <si>
    <t>http://www.ass.sk/tlacova-sprava-k-vyrocnym-vysledkom-kolektivneho-investovania-na-slovensku-za-rok-2019</t>
  </si>
  <si>
    <t>Výročná správa NDS 2018</t>
  </si>
  <si>
    <t>https://www.financnasprava.sk/sk/infoservis/statistiky/plnenie-statneho-rozpoctu/_rok-2019</t>
  </si>
  <si>
    <t>Prehľad o plnení daňových a nedaňových príjmov štátneho rozpočtu SR k 31.12.2019</t>
  </si>
  <si>
    <t>https://www.soi.sk/sk/Kontrolna-cinnost/Vyrocne-spravy.soi</t>
  </si>
  <si>
    <t>https://ww-w.ndsas.sk/spolocnost/profil-spolocnosti</t>
  </si>
  <si>
    <t>https://www.teleoff.gov.sk/data/files/49636_2019.pdf</t>
  </si>
  <si>
    <t>Výročná správa RU za rok 2019</t>
  </si>
  <si>
    <t>http://www.urso.gov.sk/?q=content/%C3%BArad-spr%C3%A1vy-%C3%Baradu</t>
  </si>
  <si>
    <t>Tržby ARRIVA NITRA a.s.</t>
  </si>
  <si>
    <t>https://finstat.sk/36545082</t>
  </si>
  <si>
    <t>podľa krajských miest - viď pomocné výpočty</t>
  </si>
  <si>
    <t>tabuľka, priemer za krajské mestá -stavby na bývanie</t>
  </si>
  <si>
    <t>http://datacube.statistics.sk/#!/view/sk/VBD_INTERN/st0003qs/v_st0003qs_00_00_00_sk</t>
  </si>
  <si>
    <t>Spotrebná daň z piva (priemerná spotreba 74,5/ l/rok)</t>
  </si>
  <si>
    <t>https://www.nielsen.com/sk/sk/insights/article/2019/slovaks-smoke-from-year-to-year-more/</t>
  </si>
  <si>
    <t>https://www.vszp.sk/files/Vyr_spr/vyrocna-sprava-za-rok-2019.pdf</t>
  </si>
  <si>
    <t>neaktualizované</t>
  </si>
  <si>
    <t>Daň z poistenia</t>
  </si>
  <si>
    <t>Predpísané poistné podľa LOB z výkazu S.05.01.</t>
  </si>
  <si>
    <t>položka</t>
  </si>
  <si>
    <t>https://www.sepsas.sk/Dokumenty/RocenkySed/ROCENKA_SED_2018.pdf</t>
  </si>
  <si>
    <t>informácia vo výročnej správe za rok 2019 nie je dostupná</t>
  </si>
  <si>
    <t>zdroj_2</t>
  </si>
  <si>
    <t>zdroj_1</t>
  </si>
  <si>
    <t xml:space="preserve">Pošta - Predbežné čisté náklady univerzálnej služby </t>
  </si>
  <si>
    <t>https://www.socpoist.sk/struktura-prijmov/1364s</t>
  </si>
  <si>
    <t>štruktúra príjmov sociálnej poisťovne</t>
  </si>
  <si>
    <t>https://www.financnasprava.sk//_img/pfsedit/Dokumenty_PFS/Zverejnovanie_dok/Statistiky/Statny_rozpocet/2019/2020.01.08_PrijmySR_2019_12.pdf</t>
  </si>
  <si>
    <t>výročná správa URSO 2019</t>
  </si>
  <si>
    <t>prieskum</t>
  </si>
  <si>
    <t>Priemer PZP (v EUR)</t>
  </si>
  <si>
    <t>Ďialničná nálepka (v EUR)</t>
  </si>
  <si>
    <t>STK + Emisná kontrola (v EUR)</t>
  </si>
  <si>
    <t>Kontrola originality (v EUR)</t>
  </si>
  <si>
    <t>Koncesionársky poplatok (v EUR)</t>
  </si>
  <si>
    <t>výročná správa NDS 2019</t>
  </si>
  <si>
    <t>Spotrebná daň z tabaku (priemerná spotreba 1290 ks/rok)</t>
  </si>
  <si>
    <t>Spotrebná daň z liehu (priemerná spotreba 9,2/l/rok)</t>
  </si>
  <si>
    <t>https://www.financnasprava.sk/_img/pfsedit/Dokumenty_PFS/Zverejnovanie_dok/Dane/Spotrebne_dane/2019/2019.02.19_cena_cig.pdf</t>
  </si>
  <si>
    <t>https://www.slov-lex.sk/pravne-predpisy/SK/ZZ/2004/98/20190301.html</t>
  </si>
  <si>
    <t>Potvrdenie o prevzatí zodpovednosti za nakladanie s odpadom z vozidla (108 tis. nových + 72 tis. dovezených os. automobilov ročne)</t>
  </si>
  <si>
    <t>Sadzba odvodu reťazcov</t>
  </si>
  <si>
    <t>https://www.slov-lex.sk/pravne-predpisy/SK/ZZ/2018/385/20190101.html</t>
  </si>
  <si>
    <t>Rekreačné poukazy</t>
  </si>
  <si>
    <t>55 % oprávnených výdavkov, najviac však v sume 275 eur za kalendárny rok</t>
  </si>
  <si>
    <t>https://www.slov-lex.sk/pravne-predpisy/SK/ZZ/2001/311/20191119.html</t>
  </si>
  <si>
    <t>Nezdaniteľná časť základu dane</t>
  </si>
  <si>
    <t>https://www.tpdcontrol.sk/cennik.html</t>
  </si>
  <si>
    <t>osobné motorové vozidlá - M1</t>
  </si>
  <si>
    <t>Príspevok zamestnávateľa na rekreáciu</t>
  </si>
  <si>
    <t>Spotrebná daň z elektriny (spotreba 0.47 MWh/mesiac)</t>
  </si>
  <si>
    <t>Distribučné poplatky za elektrinu (spotreba 0.47 MWh/mesiac) (51%)</t>
  </si>
  <si>
    <t>Distribučné poplatky za elektrinu (spotreba 0.47 MWh/mesiac) (49%)</t>
  </si>
  <si>
    <t>Spotrebná daň zo zemného plynu (spotreba 12,97 MWh/rok)</t>
  </si>
  <si>
    <t>Distribučné poplatky za plyn (spotreba 12,97 MWh/rok) (51%)</t>
  </si>
  <si>
    <t>Distribučné poplatky za plyn (spotreba 12,97 MWh/rok) (49%)</t>
  </si>
  <si>
    <t>príjmové dane</t>
  </si>
  <si>
    <t>majetkové dane</t>
  </si>
  <si>
    <t>dane zo spotreby</t>
  </si>
  <si>
    <t>eur</t>
  </si>
  <si>
    <t>%</t>
  </si>
  <si>
    <t>podnikateľské dane</t>
  </si>
  <si>
    <t>zostatok peňazí</t>
  </si>
  <si>
    <t>Sociálne a zdrav. odvody</t>
  </si>
  <si>
    <t>DPH</t>
  </si>
  <si>
    <t>Spotrebné dane</t>
  </si>
  <si>
    <t>Iné dane</t>
  </si>
  <si>
    <t>Daň z príjmu FO</t>
  </si>
  <si>
    <t>obciam</t>
  </si>
  <si>
    <t>Spotrebná daň z piva, (v mil. Eur), hotovostný princíp</t>
  </si>
  <si>
    <t>Spotrebná daň z liehu (v mil. Eur), hotovostný princíp</t>
  </si>
  <si>
    <t>Spotrebná daň z tabaku (v mil. Eur), hotovostný princíp</t>
  </si>
  <si>
    <t>Spotrebná daň z elektriny (v mil. Eur), hotovostný princíp</t>
  </si>
  <si>
    <t>Spotrebná daň zo zemného plynu (v mil. Eur), hotovostný princíp</t>
  </si>
  <si>
    <t>Spotrebná daň z minerálneho oleja (v mil. Eur), hotovostný princíp</t>
  </si>
  <si>
    <t>Daň z motorových vozidiel (v mil. Eur), hotovostný princíp</t>
  </si>
  <si>
    <t>https://www.slov-lex.sk/pravne-predpisy/SK/ZZ/2003/461/20201031.html</t>
  </si>
  <si>
    <t>https://calendar.zoznam.sk/worktime-sksk.php?hy=2020</t>
  </si>
  <si>
    <t>https://www.slov-lex.sk/pravne-predpisy/SK/ZZ/2001/311/20200730.html</t>
  </si>
  <si>
    <t>https://www.slov-lex.sk/pravne-predpisy/SK/ZZ/2004/43/20201031.html</t>
  </si>
  <si>
    <t>výročná správa VZP 2019</t>
  </si>
  <si>
    <t>informácia vo výročnej správe za rok 2020 nie je dostupná</t>
  </si>
  <si>
    <t>https://www.mfsr.sk/sk/financie/statne-vykaznictvo/klucove-dokumenty-uctovne-zavierky/statny-zaverecny-ucet-sr/</t>
  </si>
  <si>
    <t>Návrh štátneho záverečného účtu Slovenskej republiky za rok 2020</t>
  </si>
  <si>
    <t>https://www.slov-lex.sk/pravne-predpisy/SK/ZZ/2004/564/20160101.html</t>
  </si>
  <si>
    <t>http://datacube.statistics.sk/#!/view/sk/VBD_SK_WIN/nu1024rs/v_nu1024rs_00_00_00_sk</t>
  </si>
  <si>
    <t>http://datacube.statistics.sk/#!/view/sk/VBD_SLOVSTAT/st2001rs/v_st2001rs_00_00_00_sk</t>
  </si>
  <si>
    <t>https://www.slaspo.sk/27722</t>
  </si>
  <si>
    <t>https://www.slov-lex.sk/pravne-predpisy/SK/ZZ/2016/342/vyhlasene_znenie.html</t>
  </si>
  <si>
    <t>https://www.minv.sk/?zmena-vlastnictva-vozidla</t>
  </si>
  <si>
    <t>https://www.stkpezinok.sk/cennik-sluzieb-stk-pezinok</t>
  </si>
  <si>
    <t>TECH - Osobné a nákladné motorové vozidlá s celkovou hmotnosťou neprevyšujúcou 3,5 t (M1, N1), benzín, EK - Osobné motorové vozidlá s benzínovým pohonom</t>
  </si>
  <si>
    <t>https://www.teleoff.gov.sk/data/files/49811_vestnik7.pdf</t>
  </si>
  <si>
    <t>Vestník predbežných čistých nákladov univerzálnej služby za rok 2020</t>
  </si>
  <si>
    <t>https://www.slov-lex.sk/pravne-predpisy/SK/ZZ/2008/68/20120901.html</t>
  </si>
  <si>
    <t>https://www.spp.sk/sk/domacnosti/elektrina/dokumenty-a-tlaciva-na-stiahnutie/</t>
  </si>
  <si>
    <t>cenník ED1/2019</t>
  </si>
  <si>
    <t>cenník ED/01/2020</t>
  </si>
  <si>
    <t>https://www.spp.sk/sk/domacnosti/plyn/tarify-a-ceny/</t>
  </si>
  <si>
    <t>cenník ev. č. D/1/2018</t>
  </si>
  <si>
    <t>https://www.zssk.sk/wp-content/uploads/2020/08/Uctovna-zavierka_SK_2019_FINAL_WEB.pdf</t>
  </si>
  <si>
    <t>účtovná závierka 2019</t>
  </si>
  <si>
    <t>http://datacube.statistics.sk/#!/view/sk/VBD_INTERN/nu0008rs/v_nu0008rs_00_00_00_sk</t>
  </si>
  <si>
    <t>https://www.financnasprava.sk//_img/pfsedit/Dokumenty_PFS/Zverejnovanie_dok/Statistiky/Statny_rozpocet/2020/2021.01.05_prijmy_SR_2020_12.pdf</t>
  </si>
  <si>
    <t>https://www.financnasprava.sk/sk/infoservis/statistiky/plnenie-statneho-rozpoctu/_2/D%c3%a1tum%20publikovania/MTA=/NjQ=/MA==/MQ==/MTA=/bnVsbA==/opb</t>
  </si>
  <si>
    <t>Prehľad o plnení daňových a nedaňových príjmov štátneho rozpočtu SR k 31.12.2020</t>
  </si>
  <si>
    <t>informácia v prehľade za rok 2020 nie je dostupná</t>
  </si>
  <si>
    <t>https://www.soi.sk/files/documents/vyrocne-spravy/2020/vs%202020_finalna%20verzia.pdf</t>
  </si>
  <si>
    <t>Výročná správa, Slovenská obchodná inšpekcia 2020</t>
  </si>
  <si>
    <t>https://bratislava.blob.core.windows.net/media/Default/Dokumenty/N%C3%A1vrh%20Z%C3%A1vere%C4%8Dn%C3%A9ho%20%C3%BA%C4%8Dtu%20HM%20SR%20Bratislavy%20za%20rok%202020.pdf</t>
  </si>
  <si>
    <t>https://bratislava.sk/sk/zaverecny-ucet</t>
  </si>
  <si>
    <t>https://www.registeruz.sk/cruz-public/domain/accountingentity/show/231264#</t>
  </si>
  <si>
    <t>Návrh štátneho záverečného účtu SR za rok 2020</t>
  </si>
  <si>
    <t>https://www.slov-lex.sk/pravne-predpisy/SK/ZZ/2004/222/vyhlasene_znenie.html</t>
  </si>
  <si>
    <t>http://datacube.statistics.sk/#!/view/sk/VBD_SLOVSTAT/ps2041rs/v_ps2041rs_00_00_00_sk</t>
  </si>
  <si>
    <t>https://www.slaspo.sk/27830</t>
  </si>
  <si>
    <t>Agregované údaje za poisťovne so sídlom na Slovensku a za pobočky poisťovne z iného členského štátu za rok 2020 -predbežné údaje</t>
  </si>
  <si>
    <t>Výkaz ziskov a strát XII_2020</t>
  </si>
  <si>
    <t>https://www.slov-lex.sk/pravne-predpisy/SK/ZZ/2003/595/20200101.html#paragraf-11</t>
  </si>
  <si>
    <t>8% podiel štátu na výnosoch z PZP je započítaný v rámci ostatných platieb podnikateľského sektora</t>
  </si>
  <si>
    <t>Poplatok za komunálny odpad (1.24 osoby/28.13/osoba/rok)</t>
  </si>
  <si>
    <t>Celkový počet registrovaných vozidiel</t>
  </si>
  <si>
    <t>Daňové zaťaženie občana SR v roku 2020: 62,66%</t>
  </si>
  <si>
    <t>slide 3</t>
  </si>
  <si>
    <t>Slide 4</t>
  </si>
  <si>
    <t>Priemerná mzda patriaca zamestnancovi 1 599 EUR (1133 brutto)</t>
  </si>
  <si>
    <t>ČM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</si>
</sst>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00"/>
    <numFmt numFmtId="168" formatCode="&quot; &quot;* #,##0&quot;   &quot;;&quot;-&quot;* #,##0&quot;   &quot;;&quot; &quot;* &quot;-&quot;??&quot;   &quot;"/>
    <numFmt numFmtId="169" formatCode="0.0%"/>
    <numFmt numFmtId="170" formatCode="&quot; &quot;* #,##0.00&quot;   &quot;;&quot;-&quot;* #,##0.00&quot;   &quot;;&quot; &quot;* &quot;-&quot;??&quot;   &quot;"/>
    <numFmt numFmtId="171" formatCode="&quot; &quot;* #,##0.0&quot;   &quot;;&quot;-&quot;* #,##0.0&quot;   &quot;;&quot; &quot;* &quot;-&quot;??&quot;   &quot;"/>
    <numFmt numFmtId="172" formatCode="0.0"/>
    <numFmt numFmtId="173" formatCode="0.0000%"/>
  </numFmts>
  <fonts count="44">
    <font>
      <sz val="11"/>
      <color indexed="8"/>
      <name val="Calibri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i/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"/>
      <family val="2"/>
    </font>
    <font>
      <sz val="7"/>
      <color indexed="12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"/>
      <family val="2"/>
    </font>
    <font>
      <sz val="7"/>
      <color indexed="8"/>
      <name val="Arial Narrow"/>
      <family val="2"/>
    </font>
    <font>
      <u/>
      <sz val="11"/>
      <color indexed="13"/>
      <name val="Calibri"/>
      <family val="2"/>
    </font>
    <font>
      <i/>
      <sz val="6"/>
      <color indexed="8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charset val="238"/>
    </font>
    <font>
      <sz val="11"/>
      <color rgb="FF9C6500"/>
      <name val="Helvetica Neue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Helvetica Neue"/>
      <family val="2"/>
      <charset val="238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238"/>
    </font>
    <font>
      <b/>
      <sz val="18"/>
      <color theme="3"/>
      <name val="Helvetica Neue"/>
      <family val="2"/>
      <charset val="238"/>
      <scheme val="major"/>
    </font>
    <font>
      <b/>
      <sz val="15"/>
      <color theme="3"/>
      <name val="Helvetica Neue"/>
      <family val="2"/>
      <charset val="238"/>
      <scheme val="minor"/>
    </font>
    <font>
      <b/>
      <sz val="13"/>
      <color theme="3"/>
      <name val="Helvetica Neue"/>
      <family val="2"/>
      <charset val="238"/>
      <scheme val="minor"/>
    </font>
    <font>
      <b/>
      <sz val="11"/>
      <color theme="3"/>
      <name val="Helvetica Neue"/>
      <family val="2"/>
      <charset val="238"/>
      <scheme val="minor"/>
    </font>
    <font>
      <sz val="11"/>
      <color rgb="FF006100"/>
      <name val="Helvetica Neue"/>
      <family val="2"/>
      <charset val="238"/>
      <scheme val="minor"/>
    </font>
    <font>
      <sz val="11"/>
      <color rgb="FF9C0006"/>
      <name val="Helvetica Neue"/>
      <family val="2"/>
      <charset val="238"/>
      <scheme val="minor"/>
    </font>
    <font>
      <sz val="11"/>
      <color rgb="FF3F3F76"/>
      <name val="Helvetica Neue"/>
      <family val="2"/>
      <charset val="238"/>
      <scheme val="minor"/>
    </font>
    <font>
      <b/>
      <sz val="11"/>
      <color rgb="FF3F3F3F"/>
      <name val="Helvetica Neue"/>
      <family val="2"/>
      <charset val="238"/>
      <scheme val="minor"/>
    </font>
    <font>
      <b/>
      <sz val="11"/>
      <color rgb="FFFA7D00"/>
      <name val="Helvetica Neue"/>
      <family val="2"/>
      <charset val="238"/>
      <scheme val="minor"/>
    </font>
    <font>
      <sz val="11"/>
      <color rgb="FFFA7D00"/>
      <name val="Helvetica Neue"/>
      <family val="2"/>
      <charset val="238"/>
      <scheme val="minor"/>
    </font>
    <font>
      <b/>
      <sz val="11"/>
      <color theme="0"/>
      <name val="Helvetica Neue"/>
      <family val="2"/>
      <charset val="238"/>
      <scheme val="minor"/>
    </font>
    <font>
      <sz val="11"/>
      <color rgb="FFFF0000"/>
      <name val="Helvetica Neue"/>
      <family val="2"/>
      <charset val="238"/>
      <scheme val="minor"/>
    </font>
    <font>
      <i/>
      <sz val="11"/>
      <color rgb="FF7F7F7F"/>
      <name val="Helvetica Neue"/>
      <family val="2"/>
      <charset val="238"/>
      <scheme val="minor"/>
    </font>
    <font>
      <b/>
      <sz val="11"/>
      <color theme="1"/>
      <name val="Helvetica Neue"/>
      <family val="2"/>
      <charset val="238"/>
      <scheme val="minor"/>
    </font>
    <font>
      <sz val="11"/>
      <color theme="0"/>
      <name val="Helvetica Neue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 applyNumberFormat="0" applyFill="0" applyBorder="0" applyProtection="0"/>
    <xf numFmtId="0" fontId="16" fillId="0" borderId="0" applyNumberFormat="0" applyFill="0" applyBorder="0" applyAlignment="0" applyProtection="0"/>
    <xf numFmtId="0" fontId="3" fillId="0" borderId="7"/>
    <xf numFmtId="0" fontId="22" fillId="0" borderId="7"/>
    <xf numFmtId="9" fontId="22" fillId="0" borderId="7" applyFont="0" applyFill="0" applyBorder="0" applyAlignment="0" applyProtection="0"/>
    <xf numFmtId="44" fontId="22" fillId="0" borderId="7" applyFont="0" applyFill="0" applyBorder="0" applyAlignment="0" applyProtection="0"/>
    <xf numFmtId="42" fontId="22" fillId="0" borderId="7" applyFont="0" applyFill="0" applyBorder="0" applyAlignment="0" applyProtection="0"/>
    <xf numFmtId="165" fontId="22" fillId="0" borderId="7" applyFont="0" applyFill="0" applyBorder="0" applyAlignment="0" applyProtection="0"/>
    <xf numFmtId="164" fontId="22" fillId="0" borderId="7" applyFont="0" applyFill="0" applyBorder="0" applyAlignment="0" applyProtection="0"/>
    <xf numFmtId="0" fontId="24" fillId="0" borderId="7"/>
    <xf numFmtId="0" fontId="24" fillId="0" borderId="7"/>
    <xf numFmtId="0" fontId="24" fillId="0" borderId="7"/>
    <xf numFmtId="0" fontId="24" fillId="0" borderId="7"/>
    <xf numFmtId="9" fontId="24" fillId="0" borderId="7" applyFon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31" fillId="10" borderId="13" applyNumberFormat="0" applyAlignment="0" applyProtection="0"/>
    <xf numFmtId="0" fontId="32" fillId="11" borderId="14" applyNumberFormat="0" applyAlignment="0" applyProtection="0"/>
    <xf numFmtId="0" fontId="33" fillId="11" borderId="13" applyNumberFormat="0" applyAlignment="0" applyProtection="0"/>
    <xf numFmtId="0" fontId="34" fillId="0" borderId="15" applyNumberFormat="0" applyFill="0" applyAlignment="0" applyProtection="0"/>
    <xf numFmtId="0" fontId="35" fillId="12" borderId="16" applyNumberFormat="0" applyAlignment="0" applyProtection="0"/>
    <xf numFmtId="0" fontId="38" fillId="0" borderId="18" applyNumberFormat="0" applyFill="0" applyAlignment="0" applyProtection="0"/>
    <xf numFmtId="0" fontId="18" fillId="0" borderId="7"/>
    <xf numFmtId="9" fontId="2" fillId="0" borderId="7" applyFont="0" applyFill="0" applyBorder="0" applyAlignment="0" applyProtection="0"/>
    <xf numFmtId="0" fontId="25" fillId="0" borderId="7" applyNumberFormat="0" applyFill="0" applyBorder="0" applyAlignment="0" applyProtection="0"/>
    <xf numFmtId="0" fontId="28" fillId="0" borderId="7" applyNumberFormat="0" applyFill="0" applyBorder="0" applyAlignment="0" applyProtection="0"/>
    <xf numFmtId="0" fontId="29" fillId="8" borderId="7" applyNumberFormat="0" applyBorder="0" applyAlignment="0" applyProtection="0"/>
    <xf numFmtId="0" fontId="30" fillId="9" borderId="7" applyNumberFormat="0" applyBorder="0" applyAlignment="0" applyProtection="0"/>
    <xf numFmtId="0" fontId="17" fillId="6" borderId="7" applyNumberFormat="0" applyBorder="0" applyAlignment="0" applyProtection="0"/>
    <xf numFmtId="0" fontId="36" fillId="0" borderId="7" applyNumberFormat="0" applyFill="0" applyBorder="0" applyAlignment="0" applyProtection="0"/>
    <xf numFmtId="0" fontId="2" fillId="13" borderId="17" applyNumberFormat="0" applyFont="0" applyAlignment="0" applyProtection="0"/>
    <xf numFmtId="0" fontId="37" fillId="0" borderId="7" applyNumberFormat="0" applyFill="0" applyBorder="0" applyAlignment="0" applyProtection="0"/>
    <xf numFmtId="0" fontId="39" fillId="14" borderId="7" applyNumberFormat="0" applyBorder="0" applyAlignment="0" applyProtection="0"/>
    <xf numFmtId="0" fontId="2" fillId="15" borderId="7" applyNumberFormat="0" applyBorder="0" applyAlignment="0" applyProtection="0"/>
    <xf numFmtId="0" fontId="2" fillId="16" borderId="7" applyNumberFormat="0" applyBorder="0" applyAlignment="0" applyProtection="0"/>
    <xf numFmtId="0" fontId="39" fillId="17" borderId="7" applyNumberFormat="0" applyBorder="0" applyAlignment="0" applyProtection="0"/>
    <xf numFmtId="0" fontId="39" fillId="18" borderId="7" applyNumberFormat="0" applyBorder="0" applyAlignment="0" applyProtection="0"/>
    <xf numFmtId="0" fontId="2" fillId="19" borderId="7" applyNumberFormat="0" applyBorder="0" applyAlignment="0" applyProtection="0"/>
    <xf numFmtId="0" fontId="2" fillId="20" borderId="7" applyNumberFormat="0" applyBorder="0" applyAlignment="0" applyProtection="0"/>
    <xf numFmtId="0" fontId="39" fillId="21" borderId="7" applyNumberFormat="0" applyBorder="0" applyAlignment="0" applyProtection="0"/>
    <xf numFmtId="0" fontId="39" fillId="22" borderId="7" applyNumberFormat="0" applyBorder="0" applyAlignment="0" applyProtection="0"/>
    <xf numFmtId="0" fontId="2" fillId="23" borderId="7" applyNumberFormat="0" applyBorder="0" applyAlignment="0" applyProtection="0"/>
    <xf numFmtId="0" fontId="2" fillId="24" borderId="7" applyNumberFormat="0" applyBorder="0" applyAlignment="0" applyProtection="0"/>
    <xf numFmtId="0" fontId="39" fillId="25" borderId="7" applyNumberFormat="0" applyBorder="0" applyAlignment="0" applyProtection="0"/>
    <xf numFmtId="0" fontId="39" fillId="26" borderId="7" applyNumberFormat="0" applyBorder="0" applyAlignment="0" applyProtection="0"/>
    <xf numFmtId="0" fontId="2" fillId="27" borderId="7" applyNumberFormat="0" applyBorder="0" applyAlignment="0" applyProtection="0"/>
    <xf numFmtId="0" fontId="2" fillId="28" borderId="7" applyNumberFormat="0" applyBorder="0" applyAlignment="0" applyProtection="0"/>
    <xf numFmtId="0" fontId="39" fillId="29" borderId="7" applyNumberFormat="0" applyBorder="0" applyAlignment="0" applyProtection="0"/>
    <xf numFmtId="0" fontId="39" fillId="30" borderId="7" applyNumberFormat="0" applyBorder="0" applyAlignment="0" applyProtection="0"/>
    <xf numFmtId="0" fontId="2" fillId="31" borderId="7" applyNumberFormat="0" applyBorder="0" applyAlignment="0" applyProtection="0"/>
    <xf numFmtId="0" fontId="2" fillId="32" borderId="7" applyNumberFormat="0" applyBorder="0" applyAlignment="0" applyProtection="0"/>
    <xf numFmtId="0" fontId="39" fillId="33" borderId="7" applyNumberFormat="0" applyBorder="0" applyAlignment="0" applyProtection="0"/>
    <xf numFmtId="0" fontId="39" fillId="34" borderId="7" applyNumberFormat="0" applyBorder="0" applyAlignment="0" applyProtection="0"/>
    <xf numFmtId="0" fontId="2" fillId="35" borderId="7" applyNumberFormat="0" applyBorder="0" applyAlignment="0" applyProtection="0"/>
    <xf numFmtId="0" fontId="2" fillId="36" borderId="7" applyNumberFormat="0" applyBorder="0" applyAlignment="0" applyProtection="0"/>
    <xf numFmtId="0" fontId="39" fillId="37" borderId="7" applyNumberFormat="0" applyBorder="0" applyAlignment="0" applyProtection="0"/>
    <xf numFmtId="0" fontId="2" fillId="0" borderId="7"/>
    <xf numFmtId="9" fontId="18" fillId="0" borderId="7" applyFont="0" applyFill="0" applyBorder="0" applyAlignment="0" applyProtection="0"/>
    <xf numFmtId="0" fontId="40" fillId="0" borderId="7" applyNumberFormat="0" applyFill="0" applyBorder="0" applyAlignment="0" applyProtection="0"/>
    <xf numFmtId="0" fontId="18" fillId="0" borderId="7" applyNumberFormat="0" applyFill="0" applyBorder="0" applyProtection="0"/>
    <xf numFmtId="0" fontId="1" fillId="0" borderId="7"/>
    <xf numFmtId="0" fontId="41" fillId="0" borderId="7"/>
    <xf numFmtId="0" fontId="24" fillId="0" borderId="7"/>
    <xf numFmtId="0" fontId="30" fillId="9" borderId="0" applyNumberFormat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2" fontId="11" fillId="2" borderId="3" xfId="0" applyNumberFormat="1" applyFont="1" applyFill="1" applyBorder="1" applyAlignment="1">
      <alignment horizontal="left" vertical="top" wrapText="1"/>
    </xf>
    <xf numFmtId="10" fontId="12" fillId="0" borderId="7" xfId="0" applyNumberFormat="1" applyFont="1" applyBorder="1" applyAlignment="1"/>
    <xf numFmtId="2" fontId="12" fillId="2" borderId="7" xfId="0" applyNumberFormat="1" applyFont="1" applyFill="1" applyBorder="1" applyAlignment="1"/>
    <xf numFmtId="2" fontId="0" fillId="2" borderId="3" xfId="0" applyNumberFormat="1" applyFont="1" applyFill="1" applyBorder="1" applyAlignment="1">
      <alignment vertical="top" wrapText="1"/>
    </xf>
    <xf numFmtId="49" fontId="13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vertical="top"/>
    </xf>
    <xf numFmtId="49" fontId="0" fillId="2" borderId="3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13" fillId="2" borderId="3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/>
    <xf numFmtId="0" fontId="12" fillId="0" borderId="5" xfId="0" applyFont="1" applyBorder="1" applyAlignment="1"/>
    <xf numFmtId="0" fontId="7" fillId="0" borderId="2" xfId="0" applyFont="1" applyBorder="1" applyAlignment="1"/>
    <xf numFmtId="0" fontId="12" fillId="2" borderId="7" xfId="0" applyFont="1" applyFill="1" applyBorder="1" applyAlignment="1">
      <alignment horizontal="right"/>
    </xf>
    <xf numFmtId="0" fontId="12" fillId="0" borderId="7" xfId="0" applyFont="1" applyBorder="1" applyAlignment="1"/>
    <xf numFmtId="0" fontId="0" fillId="0" borderId="6" xfId="0" applyFont="1" applyBorder="1" applyAlignment="1"/>
    <xf numFmtId="0" fontId="7" fillId="0" borderId="7" xfId="0" applyFont="1" applyBorder="1" applyAlignment="1"/>
    <xf numFmtId="0" fontId="12" fillId="2" borderId="7" xfId="0" applyFont="1" applyFill="1" applyBorder="1" applyAlignment="1"/>
    <xf numFmtId="0" fontId="6" fillId="0" borderId="2" xfId="0" applyFont="1" applyBorder="1" applyAlignment="1"/>
    <xf numFmtId="49" fontId="6" fillId="0" borderId="2" xfId="0" applyNumberFormat="1" applyFont="1" applyBorder="1" applyAlignment="1">
      <alignment horizontal="right"/>
    </xf>
    <xf numFmtId="49" fontId="6" fillId="2" borderId="2" xfId="0" applyNumberFormat="1" applyFont="1" applyFill="1" applyBorder="1" applyAlignment="1">
      <alignment horizontal="right"/>
    </xf>
    <xf numFmtId="10" fontId="12" fillId="2" borderId="5" xfId="0" applyNumberFormat="1" applyFont="1" applyFill="1" applyBorder="1" applyAlignment="1"/>
    <xf numFmtId="10" fontId="12" fillId="2" borderId="7" xfId="0" applyNumberFormat="1" applyFont="1" applyFill="1" applyBorder="1" applyAlignment="1"/>
    <xf numFmtId="10" fontId="12" fillId="2" borderId="2" xfId="0" applyNumberFormat="1" applyFont="1" applyFill="1" applyBorder="1" applyAlignment="1"/>
    <xf numFmtId="2" fontId="10" fillId="0" borderId="5" xfId="0" applyNumberFormat="1" applyFont="1" applyBorder="1" applyAlignment="1"/>
    <xf numFmtId="10" fontId="10" fillId="2" borderId="5" xfId="0" applyNumberFormat="1" applyFont="1" applyFill="1" applyBorder="1" applyAlignment="1"/>
    <xf numFmtId="0" fontId="0" fillId="0" borderId="7" xfId="0" applyFont="1" applyBorder="1" applyAlignment="1"/>
    <xf numFmtId="0" fontId="0" fillId="2" borderId="7" xfId="0" applyFont="1" applyFill="1" applyBorder="1" applyAlignment="1"/>
    <xf numFmtId="49" fontId="0" fillId="4" borderId="6" xfId="0" applyNumberFormat="1" applyFont="1" applyFill="1" applyBorder="1" applyAlignment="1"/>
    <xf numFmtId="49" fontId="13" fillId="0" borderId="7" xfId="0" applyNumberFormat="1" applyFont="1" applyBorder="1" applyAlignment="1"/>
    <xf numFmtId="49" fontId="0" fillId="0" borderId="7" xfId="0" applyNumberFormat="1" applyFont="1" applyBorder="1" applyAlignment="1"/>
    <xf numFmtId="49" fontId="0" fillId="2" borderId="7" xfId="0" applyNumberFormat="1" applyFont="1" applyFill="1" applyBorder="1" applyAlignment="1"/>
    <xf numFmtId="0" fontId="0" fillId="2" borderId="8" xfId="0" applyFont="1" applyFill="1" applyBorder="1" applyAlignment="1"/>
    <xf numFmtId="0" fontId="0" fillId="0" borderId="8" xfId="0" applyFont="1" applyBorder="1" applyAlignment="1"/>
    <xf numFmtId="0" fontId="0" fillId="2" borderId="9" xfId="0" applyFont="1" applyFill="1" applyBorder="1" applyAlignment="1">
      <alignment vertical="top" wrapText="1"/>
    </xf>
    <xf numFmtId="0" fontId="0" fillId="0" borderId="0" xfId="0" applyNumberFormat="1" applyFont="1" applyAlignment="1"/>
    <xf numFmtId="2" fontId="0" fillId="0" borderId="0" xfId="0" applyNumberFormat="1" applyFont="1" applyAlignment="1"/>
    <xf numFmtId="172" fontId="0" fillId="0" borderId="0" xfId="0" applyNumberFormat="1" applyFont="1" applyAlignment="1"/>
    <xf numFmtId="168" fontId="0" fillId="5" borderId="7" xfId="0" applyNumberFormat="1" applyFont="1" applyFill="1" applyBorder="1" applyAlignment="1"/>
    <xf numFmtId="49" fontId="16" fillId="0" borderId="7" xfId="1" applyNumberFormat="1" applyBorder="1" applyAlignment="1"/>
    <xf numFmtId="169" fontId="0" fillId="5" borderId="7" xfId="0" applyNumberFormat="1" applyFont="1" applyFill="1" applyBorder="1" applyAlignment="1"/>
    <xf numFmtId="0" fontId="18" fillId="2" borderId="7" xfId="0" applyFont="1" applyFill="1" applyBorder="1" applyAlignment="1"/>
    <xf numFmtId="0" fontId="18" fillId="0" borderId="0" xfId="0" applyNumberFormat="1" applyFont="1" applyAlignment="1"/>
    <xf numFmtId="0" fontId="16" fillId="0" borderId="0" xfId="1" applyNumberFormat="1" applyAlignment="1"/>
    <xf numFmtId="0" fontId="18" fillId="0" borderId="0" xfId="0" applyNumberFormat="1" applyFont="1" applyFill="1" applyAlignment="1"/>
    <xf numFmtId="10" fontId="0" fillId="0" borderId="0" xfId="0" applyNumberFormat="1" applyFont="1" applyAlignment="1"/>
    <xf numFmtId="49" fontId="18" fillId="4" borderId="6" xfId="0" applyNumberFormat="1" applyFont="1" applyFill="1" applyBorder="1" applyAlignment="1"/>
    <xf numFmtId="0" fontId="19" fillId="0" borderId="0" xfId="0" applyNumberFormat="1" applyFont="1" applyAlignment="1"/>
    <xf numFmtId="0" fontId="19" fillId="0" borderId="7" xfId="0" applyFont="1" applyBorder="1" applyAlignment="1"/>
    <xf numFmtId="170" fontId="0" fillId="5" borderId="7" xfId="0" applyNumberFormat="1" applyFont="1" applyFill="1" applyBorder="1" applyAlignment="1"/>
    <xf numFmtId="9" fontId="0" fillId="5" borderId="7" xfId="0" applyNumberFormat="1" applyFont="1" applyFill="1" applyBorder="1" applyAlignment="1"/>
    <xf numFmtId="10" fontId="0" fillId="5" borderId="7" xfId="0" applyNumberFormat="1" applyFont="1" applyFill="1" applyBorder="1" applyAlignment="1"/>
    <xf numFmtId="169" fontId="20" fillId="5" borderId="7" xfId="0" applyNumberFormat="1" applyFont="1" applyFill="1" applyBorder="1" applyAlignment="1"/>
    <xf numFmtId="0" fontId="18" fillId="38" borderId="0" xfId="0" applyNumberFormat="1" applyFont="1" applyFill="1" applyAlignment="1"/>
    <xf numFmtId="0" fontId="19" fillId="0" borderId="6" xfId="0" applyFont="1" applyBorder="1" applyAlignment="1"/>
    <xf numFmtId="171" fontId="0" fillId="0" borderId="7" xfId="0" applyNumberFormat="1" applyFont="1" applyFill="1" applyBorder="1" applyAlignment="1">
      <alignment horizontal="left" wrapText="1"/>
    </xf>
    <xf numFmtId="169" fontId="0" fillId="39" borderId="7" xfId="0" applyNumberFormat="1" applyFont="1" applyFill="1" applyBorder="1" applyAlignment="1"/>
    <xf numFmtId="170" fontId="0" fillId="39" borderId="7" xfId="0" applyNumberFormat="1" applyFont="1" applyFill="1" applyBorder="1" applyAlignment="1"/>
    <xf numFmtId="9" fontId="0" fillId="39" borderId="7" xfId="0" applyNumberFormat="1" applyFont="1" applyFill="1" applyBorder="1" applyAlignment="1"/>
    <xf numFmtId="173" fontId="0" fillId="39" borderId="7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/>
    <xf numFmtId="2" fontId="12" fillId="0" borderId="7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/>
    <xf numFmtId="0" fontId="9" fillId="0" borderId="4" xfId="0" applyFont="1" applyFill="1" applyBorder="1" applyAlignment="1"/>
    <xf numFmtId="9" fontId="9" fillId="0" borderId="4" xfId="0" applyNumberFormat="1" applyFont="1" applyFill="1" applyBorder="1" applyAlignment="1"/>
    <xf numFmtId="2" fontId="9" fillId="0" borderId="4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/>
    </xf>
    <xf numFmtId="10" fontId="12" fillId="0" borderId="5" xfId="0" applyNumberFormat="1" applyFont="1" applyFill="1" applyBorder="1" applyAlignment="1"/>
    <xf numFmtId="2" fontId="12" fillId="0" borderId="5" xfId="0" applyNumberFormat="1" applyFont="1" applyFill="1" applyBorder="1" applyAlignment="1"/>
    <xf numFmtId="49" fontId="7" fillId="0" borderId="7" xfId="0" applyNumberFormat="1" applyFont="1" applyFill="1" applyBorder="1" applyAlignment="1">
      <alignment horizontal="right"/>
    </xf>
    <xf numFmtId="10" fontId="12" fillId="0" borderId="7" xfId="0" applyNumberFormat="1" applyFont="1" applyFill="1" applyBorder="1" applyAlignment="1"/>
    <xf numFmtId="2" fontId="12" fillId="0" borderId="7" xfId="0" applyNumberFormat="1" applyFont="1" applyFill="1" applyBorder="1" applyAlignment="1"/>
    <xf numFmtId="49" fontId="7" fillId="0" borderId="2" xfId="0" applyNumberFormat="1" applyFont="1" applyFill="1" applyBorder="1" applyAlignment="1">
      <alignment horizontal="right"/>
    </xf>
    <xf numFmtId="10" fontId="12" fillId="0" borderId="2" xfId="0" applyNumberFormat="1" applyFont="1" applyFill="1" applyBorder="1" applyAlignment="1"/>
    <xf numFmtId="2" fontId="12" fillId="0" borderId="2" xfId="0" applyNumberFormat="1" applyFont="1" applyFill="1" applyBorder="1" applyAlignment="1"/>
    <xf numFmtId="2" fontId="10" fillId="0" borderId="2" xfId="0" applyNumberFormat="1" applyFont="1" applyFill="1" applyBorder="1" applyAlignment="1"/>
    <xf numFmtId="49" fontId="7" fillId="0" borderId="5" xfId="0" applyNumberFormat="1" applyFont="1" applyFill="1" applyBorder="1" applyAlignment="1">
      <alignment horizontal="right" wrapText="1"/>
    </xf>
    <xf numFmtId="166" fontId="12" fillId="0" borderId="5" xfId="0" applyNumberFormat="1" applyFont="1" applyFill="1" applyBorder="1" applyAlignment="1"/>
    <xf numFmtId="49" fontId="7" fillId="0" borderId="7" xfId="0" applyNumberFormat="1" applyFont="1" applyFill="1" applyBorder="1" applyAlignment="1">
      <alignment horizontal="right" wrapText="1"/>
    </xf>
    <xf numFmtId="166" fontId="12" fillId="0" borderId="7" xfId="0" applyNumberFormat="1" applyFont="1" applyFill="1" applyBorder="1" applyAlignment="1"/>
    <xf numFmtId="167" fontId="12" fillId="0" borderId="7" xfId="0" applyNumberFormat="1" applyFont="1" applyFill="1" applyBorder="1" applyAlignment="1">
      <alignment wrapText="1"/>
    </xf>
    <xf numFmtId="0" fontId="7" fillId="0" borderId="5" xfId="0" applyFont="1" applyFill="1" applyBorder="1" applyAlignment="1"/>
    <xf numFmtId="2" fontId="10" fillId="0" borderId="5" xfId="0" applyNumberFormat="1" applyFont="1" applyFill="1" applyBorder="1" applyAlignment="1"/>
    <xf numFmtId="10" fontId="10" fillId="0" borderId="5" xfId="0" applyNumberFormat="1" applyFont="1" applyFill="1" applyBorder="1" applyAlignment="1"/>
    <xf numFmtId="2" fontId="12" fillId="0" borderId="5" xfId="0" applyNumberFormat="1" applyFont="1" applyFill="1" applyBorder="1" applyAlignment="1">
      <alignment horizontal="right"/>
    </xf>
    <xf numFmtId="0" fontId="7" fillId="0" borderId="2" xfId="0" applyFont="1" applyFill="1" applyBorder="1" applyAlignment="1"/>
    <xf numFmtId="0" fontId="12" fillId="0" borderId="2" xfId="0" applyFont="1" applyFill="1" applyBorder="1" applyAlignment="1"/>
    <xf numFmtId="10" fontId="10" fillId="0" borderId="2" xfId="0" applyNumberFormat="1" applyFont="1" applyFill="1" applyBorder="1" applyAlignment="1"/>
    <xf numFmtId="0" fontId="12" fillId="0" borderId="7" xfId="0" applyFont="1" applyFill="1" applyBorder="1" applyAlignment="1">
      <alignment horizontal="right"/>
    </xf>
    <xf numFmtId="0" fontId="12" fillId="0" borderId="5" xfId="0" applyFont="1" applyFill="1" applyBorder="1" applyAlignment="1"/>
    <xf numFmtId="2" fontId="0" fillId="40" borderId="0" xfId="0" applyNumberFormat="1" applyFont="1" applyFill="1" applyAlignment="1"/>
    <xf numFmtId="0" fontId="42" fillId="40" borderId="0" xfId="0" applyNumberFormat="1" applyFont="1" applyFill="1" applyAlignment="1"/>
    <xf numFmtId="49" fontId="7" fillId="40" borderId="7" xfId="0" applyNumberFormat="1" applyFont="1" applyFill="1" applyBorder="1" applyAlignment="1">
      <alignment horizontal="right" wrapText="1"/>
    </xf>
    <xf numFmtId="0" fontId="0" fillId="40" borderId="0" xfId="0" applyNumberFormat="1" applyFont="1" applyFill="1" applyAlignment="1"/>
    <xf numFmtId="0" fontId="0" fillId="2" borderId="7" xfId="0" applyFont="1" applyFill="1" applyBorder="1" applyAlignment="1">
      <alignment vertical="top" wrapText="1"/>
    </xf>
    <xf numFmtId="0" fontId="42" fillId="40" borderId="7" xfId="0" applyNumberFormat="1" applyFont="1" applyFill="1" applyBorder="1" applyAlignment="1"/>
    <xf numFmtId="2" fontId="42" fillId="40" borderId="7" xfId="0" applyNumberFormat="1" applyFont="1" applyFill="1" applyBorder="1" applyAlignment="1"/>
    <xf numFmtId="2" fontId="5" fillId="40" borderId="7" xfId="0" applyNumberFormat="1" applyFont="1" applyFill="1" applyBorder="1" applyAlignment="1"/>
    <xf numFmtId="0" fontId="42" fillId="40" borderId="7" xfId="0" applyNumberFormat="1" applyFont="1" applyFill="1" applyBorder="1" applyAlignment="1">
      <alignment horizontal="right"/>
    </xf>
    <xf numFmtId="49" fontId="7" fillId="40" borderId="2" xfId="0" applyNumberFormat="1" applyFont="1" applyFill="1" applyBorder="1" applyAlignment="1">
      <alignment horizontal="right"/>
    </xf>
    <xf numFmtId="10" fontId="12" fillId="40" borderId="5" xfId="0" applyNumberFormat="1" applyFont="1" applyFill="1" applyBorder="1" applyAlignment="1"/>
    <xf numFmtId="10" fontId="12" fillId="40" borderId="7" xfId="0" applyNumberFormat="1" applyFont="1" applyFill="1" applyBorder="1" applyAlignment="1"/>
    <xf numFmtId="10" fontId="12" fillId="40" borderId="2" xfId="0" applyNumberFormat="1" applyFont="1" applyFill="1" applyBorder="1" applyAlignment="1"/>
    <xf numFmtId="2" fontId="12" fillId="40" borderId="5" xfId="0" applyNumberFormat="1" applyFont="1" applyFill="1" applyBorder="1" applyAlignment="1"/>
    <xf numFmtId="2" fontId="12" fillId="40" borderId="7" xfId="0" applyNumberFormat="1" applyFont="1" applyFill="1" applyBorder="1" applyAlignment="1"/>
    <xf numFmtId="2" fontId="12" fillId="40" borderId="2" xfId="0" applyNumberFormat="1" applyFont="1" applyFill="1" applyBorder="1" applyAlignment="1"/>
    <xf numFmtId="49" fontId="7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Fill="1" applyBorder="1" applyAlignment="1"/>
    <xf numFmtId="10" fontId="12" fillId="0" borderId="19" xfId="0" applyNumberFormat="1" applyFont="1" applyFill="1" applyBorder="1" applyAlignment="1"/>
    <xf numFmtId="49" fontId="7" fillId="0" borderId="19" xfId="0" applyNumberFormat="1" applyFont="1" applyFill="1" applyBorder="1" applyAlignment="1">
      <alignment horizontal="right"/>
    </xf>
    <xf numFmtId="168" fontId="0" fillId="39" borderId="7" xfId="0" applyNumberFormat="1" applyFont="1" applyFill="1" applyBorder="1" applyAlignment="1"/>
    <xf numFmtId="10" fontId="0" fillId="5" borderId="0" xfId="0" applyNumberFormat="1" applyFont="1" applyFill="1" applyAlignment="1"/>
    <xf numFmtId="0" fontId="40" fillId="0" borderId="7" xfId="59" applyNumberFormat="1" applyAlignment="1"/>
    <xf numFmtId="0" fontId="40" fillId="0" borderId="7" xfId="59" applyNumberFormat="1" applyFill="1" applyAlignment="1"/>
    <xf numFmtId="49" fontId="40" fillId="0" borderId="7" xfId="59" applyNumberFormat="1" applyBorder="1" applyAlignment="1"/>
    <xf numFmtId="0" fontId="40" fillId="0" borderId="7" xfId="59" applyFill="1" applyAlignment="1"/>
    <xf numFmtId="0" fontId="40" fillId="0" borderId="7" xfId="59" applyBorder="1" applyAlignment="1"/>
    <xf numFmtId="0" fontId="40" fillId="0" borderId="7" xfId="59" applyAlignment="1"/>
    <xf numFmtId="49" fontId="40" fillId="7" borderId="7" xfId="59" applyNumberFormat="1" applyFill="1" applyBorder="1" applyAlignment="1"/>
    <xf numFmtId="0" fontId="30" fillId="9" borderId="7" xfId="28" applyNumberFormat="1" applyBorder="1" applyAlignment="1"/>
    <xf numFmtId="49" fontId="20" fillId="0" borderId="7" xfId="59" applyNumberFormat="1" applyFont="1" applyBorder="1" applyAlignment="1"/>
    <xf numFmtId="0" fontId="21" fillId="0" borderId="7" xfId="29" applyNumberFormat="1" applyFont="1" applyFill="1" applyAlignment="1"/>
    <xf numFmtId="0" fontId="0" fillId="0" borderId="7" xfId="0" applyFont="1" applyFill="1" applyBorder="1" applyAlignment="1"/>
    <xf numFmtId="0" fontId="40" fillId="7" borderId="7" xfId="59" applyNumberFormat="1" applyFill="1" applyAlignment="1"/>
    <xf numFmtId="0" fontId="40" fillId="2" borderId="7" xfId="59" applyFill="1" applyBorder="1" applyAlignment="1"/>
    <xf numFmtId="49" fontId="40" fillId="0" borderId="7" xfId="59" applyNumberFormat="1" applyFill="1" applyBorder="1" applyAlignment="1">
      <alignment horizontal="left" vertical="top"/>
    </xf>
    <xf numFmtId="0" fontId="0" fillId="0" borderId="0" xfId="0" applyNumberFormat="1" applyFont="1" applyFill="1" applyAlignment="1"/>
    <xf numFmtId="49" fontId="40" fillId="0" borderId="7" xfId="59" applyNumberFormat="1" applyBorder="1" applyAlignment="1">
      <alignment horizontal="left"/>
    </xf>
    <xf numFmtId="165" fontId="0" fillId="0" borderId="7" xfId="0" applyNumberFormat="1" applyFont="1" applyBorder="1" applyAlignment="1"/>
    <xf numFmtId="0" fontId="30" fillId="0" borderId="7" xfId="28" applyNumberFormat="1" applyFill="1" applyBorder="1" applyAlignment="1"/>
    <xf numFmtId="49" fontId="40" fillId="0" borderId="8" xfId="59" applyNumberFormat="1" applyBorder="1" applyAlignment="1"/>
    <xf numFmtId="2" fontId="23" fillId="0" borderId="0" xfId="0" applyNumberFormat="1" applyFont="1" applyAlignment="1"/>
    <xf numFmtId="2" fontId="23" fillId="40" borderId="0" xfId="0" applyNumberFormat="1" applyFont="1" applyFill="1" applyAlignment="1"/>
    <xf numFmtId="0" fontId="30" fillId="0" borderId="0" xfId="64" applyNumberFormat="1" applyFill="1" applyAlignment="1"/>
    <xf numFmtId="0" fontId="30" fillId="0" borderId="0" xfId="64" applyNumberFormat="1" applyFill="1" applyBorder="1" applyAlignment="1"/>
    <xf numFmtId="170" fontId="0" fillId="41" borderId="7" xfId="0" applyNumberFormat="1" applyFont="1" applyFill="1" applyBorder="1" applyAlignment="1"/>
    <xf numFmtId="10" fontId="18" fillId="41" borderId="7" xfId="24" applyNumberFormat="1" applyFont="1" applyFill="1" applyAlignment="1"/>
    <xf numFmtId="0" fontId="18" fillId="42" borderId="0" xfId="0" applyNumberFormat="1" applyFont="1" applyFill="1" applyAlignment="1"/>
    <xf numFmtId="2" fontId="43" fillId="0" borderId="0" xfId="0" applyNumberFormat="1" applyFont="1" applyAlignment="1"/>
    <xf numFmtId="0" fontId="43" fillId="0" borderId="0" xfId="0" applyNumberFormat="1" applyFont="1" applyAlignment="1"/>
    <xf numFmtId="49" fontId="4" fillId="0" borderId="20" xfId="0" applyNumberFormat="1" applyFont="1" applyFill="1" applyBorder="1" applyAlignment="1"/>
    <xf numFmtId="0" fontId="4" fillId="0" borderId="21" xfId="0" applyFont="1" applyFill="1" applyBorder="1" applyAlignment="1"/>
    <xf numFmtId="0" fontId="5" fillId="0" borderId="21" xfId="0" applyFont="1" applyFill="1" applyBorder="1" applyAlignment="1"/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/>
    <xf numFmtId="49" fontId="6" fillId="0" borderId="23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horizontal="right" wrapText="1"/>
    </xf>
    <xf numFmtId="49" fontId="7" fillId="0" borderId="25" xfId="0" applyNumberFormat="1" applyFont="1" applyFill="1" applyBorder="1" applyAlignment="1"/>
    <xf numFmtId="2" fontId="10" fillId="0" borderId="26" xfId="0" applyNumberFormat="1" applyFont="1" applyFill="1" applyBorder="1" applyAlignment="1"/>
    <xf numFmtId="49" fontId="7" fillId="0" borderId="27" xfId="0" applyNumberFormat="1" applyFont="1" applyFill="1" applyBorder="1" applyAlignment="1"/>
    <xf numFmtId="2" fontId="12" fillId="0" borderId="28" xfId="0" applyNumberFormat="1" applyFont="1" applyFill="1" applyBorder="1" applyAlignment="1"/>
    <xf numFmtId="49" fontId="7" fillId="0" borderId="29" xfId="0" applyNumberFormat="1" applyFont="1" applyFill="1" applyBorder="1" applyAlignment="1"/>
    <xf numFmtId="2" fontId="12" fillId="0" borderId="30" xfId="0" applyNumberFormat="1" applyFont="1" applyFill="1" applyBorder="1" applyAlignment="1"/>
    <xf numFmtId="49" fontId="7" fillId="0" borderId="23" xfId="0" applyNumberFormat="1" applyFont="1" applyFill="1" applyBorder="1" applyAlignment="1"/>
    <xf numFmtId="2" fontId="10" fillId="0" borderId="24" xfId="0" applyNumberFormat="1" applyFont="1" applyFill="1" applyBorder="1" applyAlignment="1"/>
    <xf numFmtId="49" fontId="7" fillId="0" borderId="31" xfId="0" applyNumberFormat="1" applyFont="1" applyFill="1" applyBorder="1" applyAlignment="1">
      <alignment wrapText="1"/>
    </xf>
    <xf numFmtId="2" fontId="12" fillId="0" borderId="32" xfId="0" applyNumberFormat="1" applyFont="1" applyFill="1" applyBorder="1" applyAlignment="1"/>
    <xf numFmtId="49" fontId="7" fillId="0" borderId="29" xfId="0" applyNumberFormat="1" applyFont="1" applyFill="1" applyBorder="1" applyAlignment="1">
      <alignment wrapText="1"/>
    </xf>
    <xf numFmtId="49" fontId="7" fillId="0" borderId="29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wrapText="1"/>
    </xf>
    <xf numFmtId="2" fontId="10" fillId="0" borderId="30" xfId="0" applyNumberFormat="1" applyFont="1" applyFill="1" applyBorder="1" applyAlignment="1"/>
    <xf numFmtId="0" fontId="12" fillId="0" borderId="30" xfId="0" applyFont="1" applyFill="1" applyBorder="1" applyAlignment="1"/>
    <xf numFmtId="0" fontId="0" fillId="0" borderId="29" xfId="0" applyFont="1" applyBorder="1" applyAlignment="1"/>
    <xf numFmtId="0" fontId="12" fillId="0" borderId="30" xfId="0" applyFont="1" applyBorder="1" applyAlignment="1"/>
    <xf numFmtId="0" fontId="7" fillId="0" borderId="29" xfId="0" applyFont="1" applyBorder="1" applyAlignment="1"/>
    <xf numFmtId="49" fontId="15" fillId="0" borderId="29" xfId="0" applyNumberFormat="1" applyFont="1" applyBorder="1" applyAlignment="1"/>
    <xf numFmtId="0" fontId="12" fillId="0" borderId="29" xfId="0" applyFont="1" applyBorder="1" applyAlignment="1"/>
    <xf numFmtId="49" fontId="6" fillId="40" borderId="23" xfId="0" applyNumberFormat="1" applyFont="1" applyFill="1" applyBorder="1" applyAlignment="1"/>
    <xf numFmtId="49" fontId="7" fillId="0" borderId="27" xfId="0" applyNumberFormat="1" applyFont="1" applyBorder="1" applyAlignment="1"/>
    <xf numFmtId="49" fontId="7" fillId="0" borderId="29" xfId="0" applyNumberFormat="1" applyFont="1" applyBorder="1" applyAlignment="1"/>
    <xf numFmtId="49" fontId="7" fillId="0" borderId="23" xfId="0" applyNumberFormat="1" applyFont="1" applyBorder="1" applyAlignment="1"/>
    <xf numFmtId="0" fontId="0" fillId="0" borderId="30" xfId="0" applyFont="1" applyBorder="1" applyAlignment="1"/>
    <xf numFmtId="49" fontId="7" fillId="0" borderId="31" xfId="0" applyNumberFormat="1" applyFont="1" applyBorder="1" applyAlignment="1"/>
    <xf numFmtId="0" fontId="0" fillId="2" borderId="19" xfId="0" applyFont="1" applyFill="1" applyBorder="1" applyAlignment="1"/>
    <xf numFmtId="0" fontId="0" fillId="0" borderId="32" xfId="0" applyFont="1" applyBorder="1" applyAlignment="1"/>
    <xf numFmtId="49" fontId="14" fillId="0" borderId="29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65">
    <cellStyle name="=D:\WINNT\SYSTEM32\COMMAND.COM" xfId="63" xr:uid="{00000000-0005-0000-0000-000000000000}"/>
    <cellStyle name="20 % - zvýraznenie1 2" xfId="34" xr:uid="{00000000-0005-0000-0000-000001000000}"/>
    <cellStyle name="20 % - zvýraznenie2 2" xfId="38" xr:uid="{00000000-0005-0000-0000-000002000000}"/>
    <cellStyle name="20 % - zvýraznenie3 2" xfId="42" xr:uid="{00000000-0005-0000-0000-000003000000}"/>
    <cellStyle name="20 % - zvýraznenie4 2" xfId="46" xr:uid="{00000000-0005-0000-0000-000004000000}"/>
    <cellStyle name="20 % - zvýraznenie5 2" xfId="50" xr:uid="{00000000-0005-0000-0000-000005000000}"/>
    <cellStyle name="20 % - zvýraznenie6 2" xfId="54" xr:uid="{00000000-0005-0000-0000-000006000000}"/>
    <cellStyle name="40 % - zvýraznenie1 2" xfId="35" xr:uid="{00000000-0005-0000-0000-000007000000}"/>
    <cellStyle name="40 % - zvýraznenie2 2" xfId="39" xr:uid="{00000000-0005-0000-0000-000008000000}"/>
    <cellStyle name="40 % - zvýraznenie3 2" xfId="43" xr:uid="{00000000-0005-0000-0000-000009000000}"/>
    <cellStyle name="40 % - zvýraznenie4 2" xfId="47" xr:uid="{00000000-0005-0000-0000-00000A000000}"/>
    <cellStyle name="40 % - zvýraznenie5 2" xfId="51" xr:uid="{00000000-0005-0000-0000-00000B000000}"/>
    <cellStyle name="40 % - zvýraznenie6 2" xfId="55" xr:uid="{00000000-0005-0000-0000-00000C000000}"/>
    <cellStyle name="60 % - zvýraznenie1 2" xfId="36" xr:uid="{00000000-0005-0000-0000-00000D000000}"/>
    <cellStyle name="60 % - zvýraznenie2 2" xfId="40" xr:uid="{00000000-0005-0000-0000-00000E000000}"/>
    <cellStyle name="60 % - zvýraznenie3 2" xfId="44" xr:uid="{00000000-0005-0000-0000-00000F000000}"/>
    <cellStyle name="60 % - zvýraznenie4 2" xfId="48" xr:uid="{00000000-0005-0000-0000-000010000000}"/>
    <cellStyle name="60 % - zvýraznenie5 2" xfId="52" xr:uid="{00000000-0005-0000-0000-000011000000}"/>
    <cellStyle name="60 % - zvýraznenie6 2" xfId="56" xr:uid="{00000000-0005-0000-0000-000012000000}"/>
    <cellStyle name="Celkem" xfId="22" builtinId="25" customBuiltin="1"/>
    <cellStyle name="Comma" xfId="7" xr:uid="{00000000-0005-0000-0000-000015000000}"/>
    <cellStyle name="Comma [0]" xfId="8" xr:uid="{00000000-0005-0000-0000-000016000000}"/>
    <cellStyle name="Currency" xfId="5" xr:uid="{00000000-0005-0000-0000-000017000000}"/>
    <cellStyle name="Currency [0]" xfId="6" xr:uid="{00000000-0005-0000-0000-000018000000}"/>
    <cellStyle name="Dobrá 2" xfId="27" xr:uid="{00000000-0005-0000-0000-000019000000}"/>
    <cellStyle name="Hypertextové prepojenie 2" xfId="59" xr:uid="{00000000-0005-0000-0000-00001E000000}"/>
    <cellStyle name="Hypertextový odkaz" xfId="1" builtinId="8"/>
    <cellStyle name="Kontrolní buňka" xfId="21" builtinId="23" customBuiltin="1"/>
    <cellStyle name="Nadpis 1" xfId="14" builtinId="16" customBuiltin="1"/>
    <cellStyle name="Nadpis 2" xfId="15" builtinId="17" customBuiltin="1"/>
    <cellStyle name="Nadpis 3" xfId="16" builtinId="18" customBuiltin="1"/>
    <cellStyle name="Nadpis 4 2" xfId="26" xr:uid="{00000000-0005-0000-0000-000022000000}"/>
    <cellStyle name="Neutrálna 2" xfId="29" xr:uid="{00000000-0005-0000-0000-000023000000}"/>
    <cellStyle name="Normálna 2" xfId="2" xr:uid="{00000000-0005-0000-0000-000025000000}"/>
    <cellStyle name="Normálna 2 2" xfId="10" xr:uid="{00000000-0005-0000-0000-000026000000}"/>
    <cellStyle name="Normálna 2 3" xfId="57" xr:uid="{00000000-0005-0000-0000-000027000000}"/>
    <cellStyle name="Normálna 3" xfId="3" xr:uid="{00000000-0005-0000-0000-000028000000}"/>
    <cellStyle name="Normálna 4" xfId="9" xr:uid="{00000000-0005-0000-0000-000029000000}"/>
    <cellStyle name="Normálna 5" xfId="23" xr:uid="{00000000-0005-0000-0000-00002A000000}"/>
    <cellStyle name="Normálna 6" xfId="60" xr:uid="{00000000-0005-0000-0000-00002B000000}"/>
    <cellStyle name="Normálna 7" xfId="61" xr:uid="{00000000-0005-0000-0000-00002C000000}"/>
    <cellStyle name="normálne 2" xfId="11" xr:uid="{00000000-0005-0000-0000-00002D000000}"/>
    <cellStyle name="Normálne 4 2" xfId="62" xr:uid="{00000000-0005-0000-0000-00002E000000}"/>
    <cellStyle name="Normální" xfId="0" builtinId="0"/>
    <cellStyle name="normální 5" xfId="12" xr:uid="{00000000-0005-0000-0000-00002F000000}"/>
    <cellStyle name="Percent" xfId="4" xr:uid="{00000000-0005-0000-0000-000031000000}"/>
    <cellStyle name="Percentá 2" xfId="13" xr:uid="{00000000-0005-0000-0000-000032000000}"/>
    <cellStyle name="Percentá 3" xfId="24" xr:uid="{00000000-0005-0000-0000-000033000000}"/>
    <cellStyle name="Percentá 4" xfId="58" xr:uid="{00000000-0005-0000-0000-000034000000}"/>
    <cellStyle name="Poznámka 2" xfId="31" xr:uid="{00000000-0005-0000-0000-000035000000}"/>
    <cellStyle name="Propojená buňka" xfId="20" builtinId="24" customBuiltin="1"/>
    <cellStyle name="Špatně" xfId="64" builtinId="27"/>
    <cellStyle name="Text upozornenia 2" xfId="30" xr:uid="{00000000-0005-0000-0000-000036000000}"/>
    <cellStyle name="Titul 2" xfId="25" xr:uid="{00000000-0005-0000-0000-000037000000}"/>
    <cellStyle name="Vstup" xfId="17" builtinId="20" customBuiltin="1"/>
    <cellStyle name="Výpočet" xfId="19" builtinId="22" customBuiltin="1"/>
    <cellStyle name="Výstup" xfId="18" builtinId="21" customBuiltin="1"/>
    <cellStyle name="Vysvetľujúci text 2" xfId="32" xr:uid="{00000000-0005-0000-0000-000039000000}"/>
    <cellStyle name="Zlá 2" xfId="28" xr:uid="{00000000-0005-0000-0000-00003A000000}"/>
    <cellStyle name="Zvýraznenie1 2" xfId="33" xr:uid="{00000000-0005-0000-0000-00003B000000}"/>
    <cellStyle name="Zvýraznenie2 2" xfId="37" xr:uid="{00000000-0005-0000-0000-00003C000000}"/>
    <cellStyle name="Zvýraznenie3 2" xfId="41" xr:uid="{00000000-0005-0000-0000-00003D000000}"/>
    <cellStyle name="Zvýraznenie4 2" xfId="45" xr:uid="{00000000-0005-0000-0000-00003E000000}"/>
    <cellStyle name="Zvýraznenie5 2" xfId="49" xr:uid="{00000000-0005-0000-0000-00003F000000}"/>
    <cellStyle name="Zvýraznenie6 2" xfId="53" xr:uid="{00000000-0005-0000-0000-000040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FF0000"/>
      <rgbColor rgb="FF0000FF"/>
      <rgbColor rgb="FFA7A7A7"/>
      <rgbColor rgb="FFFABF8F"/>
      <rgbColor rgb="FF00FF00"/>
      <rgbColor rgb="FFF2F2F2"/>
      <rgbColor rgb="FFDDDDDD"/>
      <rgbColor rgb="FFF9F9F9"/>
      <rgbColor rgb="FFBBCEDC"/>
      <rgbColor rgb="FF084887"/>
      <rgbColor rgb="FFF6FAF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  <color rgb="FFA0E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350577538692"/>
          <c:y val="0.24440749362598382"/>
          <c:w val="0.31094200000000011"/>
          <c:h val="0.52291599999999983"/>
        </c:manualLayout>
      </c:layout>
      <c:pieChart>
        <c:varyColors val="0"/>
        <c:ser>
          <c:idx val="0"/>
          <c:order val="0"/>
          <c:tx>
            <c:strRef>
              <c:f>Výpočet!$A$69</c:f>
              <c:strCache>
                <c:ptCount val="1"/>
                <c:pt idx="0">
                  <c:v>Komu a koľko na daniach mesačne platíme: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0-8321-4D44-9F54-67B4B1186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1-4D44-9F54-67B4B11862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21-4D44-9F54-67B4B11862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1-4D44-9F54-67B4B11862FC}"/>
              </c:ext>
            </c:extLst>
          </c:dPt>
          <c:dLbls>
            <c:dLbl>
              <c:idx val="0"/>
              <c:layout>
                <c:manualLayout>
                  <c:x val="5.9701445377221836E-2"/>
                  <c:y val="-1.22875195971305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ED-425B-8E28-EDA5DBCD3D5A}"/>
                </c:ext>
              </c:extLst>
            </c:dLbl>
            <c:dLbl>
              <c:idx val="1"/>
              <c:layout>
                <c:manualLayout>
                  <c:x val="-4.2952786302801679E-2"/>
                  <c:y val="6.39520091870302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21-4D44-9F54-67B4B11862FC}"/>
                </c:ext>
              </c:extLst>
            </c:dLbl>
            <c:dLbl>
              <c:idx val="2"/>
              <c:layout>
                <c:manualLayout>
                  <c:x val="-4.1418069450951854E-2"/>
                  <c:y val="3.26158361489804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80015957984474"/>
                      <c:h val="8.6373311930767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321-4D44-9F54-67B4B11862FC}"/>
                </c:ext>
              </c:extLst>
            </c:dLbl>
            <c:dLbl>
              <c:idx val="3"/>
              <c:layout>
                <c:manualLayout>
                  <c:x val="4.2138897611049561E-3"/>
                  <c:y val="1.317560612538627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21-4D44-9F54-67B4B11862FC}"/>
                </c:ext>
              </c:extLst>
            </c:dLbl>
            <c:dLbl>
              <c:idx val="4"/>
              <c:layout>
                <c:manualLayout>
                  <c:x val="7.1399541444745238E-2"/>
                  <c:y val="-1.83508321852186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21-4D44-9F54-67B4B11862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 Narrow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Výpočet!$A$70:$A$74</c:f>
              <c:strCache>
                <c:ptCount val="5"/>
                <c:pt idx="0">
                  <c:v>štátu</c:v>
                </c:pt>
                <c:pt idx="1">
                  <c:v>obciam</c:v>
                </c:pt>
                <c:pt idx="2">
                  <c:v>VÚC</c:v>
                </c:pt>
                <c:pt idx="3">
                  <c:v>súkrom. spol.</c:v>
                </c:pt>
                <c:pt idx="4">
                  <c:v>EÚ</c:v>
                </c:pt>
              </c:strCache>
            </c:strRef>
          </c:cat>
          <c:val>
            <c:numRef>
              <c:f>Výpočet!$C$70:$C$74</c:f>
              <c:numCache>
                <c:formatCode>0.00</c:formatCode>
                <c:ptCount val="5"/>
                <c:pt idx="0">
                  <c:v>783.9590979440095</c:v>
                </c:pt>
                <c:pt idx="1">
                  <c:v>93.023703809596668</c:v>
                </c:pt>
                <c:pt idx="2">
                  <c:v>30.459871302633115</c:v>
                </c:pt>
                <c:pt idx="3">
                  <c:v>94.061876402238155</c:v>
                </c:pt>
                <c:pt idx="4">
                  <c:v>0.2385690696778795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1-4D44-9F54-67B4B118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7075100000000023"/>
          <c:y val="0.24139099999999999"/>
          <c:w val="0.4292490000000001"/>
          <c:h val="0.426712274534023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700" b="0" i="0" u="none" strike="noStrike">
              <a:solidFill>
                <a:srgbClr val="000000"/>
              </a:solidFill>
              <a:latin typeface="Calibri"/>
            </a:defRPr>
          </a:pPr>
          <a:endParaRPr lang="sk-SK"/>
        </a:p>
      </c:txPr>
    </c:legend>
    <c:plotVisOnly val="1"/>
    <c:dispBlanksAs val="zero"/>
    <c:showDLblsOverMax val="1"/>
  </c:chart>
  <c:spPr>
    <a:solidFill>
      <a:srgbClr val="F2F2F2"/>
    </a:solidFill>
    <a:ln>
      <a:noFill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2127542596124"/>
          <c:y val="0.17742084671034272"/>
          <c:w val="0.30776538712075102"/>
          <c:h val="0.62489693015916425"/>
        </c:manualLayout>
      </c:layout>
      <c:pieChart>
        <c:varyColors val="0"/>
        <c:ser>
          <c:idx val="0"/>
          <c:order val="0"/>
          <c:tx>
            <c:strRef>
              <c:f>Výpočet!$A$80</c:f>
              <c:strCache>
                <c:ptCount val="1"/>
                <c:pt idx="0">
                  <c:v>príjem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0-7C61-4148-B629-9E5CCCAB1E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61-4148-B629-9E5CCCAB1E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7C61-4148-B629-9E5CCCAB1EB3}"/>
              </c:ext>
            </c:extLst>
          </c:dPt>
          <c:dLbls>
            <c:dLbl>
              <c:idx val="0"/>
              <c:layout>
                <c:manualLayout>
                  <c:x val="7.8556402148786786E-2"/>
                  <c:y val="-2.50095065375727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9B-4211-A1D4-FA894408210F}"/>
                </c:ext>
              </c:extLst>
            </c:dLbl>
            <c:dLbl>
              <c:idx val="1"/>
              <c:layout>
                <c:manualLayout>
                  <c:x val="-1.322803546113374E-2"/>
                  <c:y val="-2.56411675372098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61-4148-B629-9E5CCCAB1EB3}"/>
                </c:ext>
              </c:extLst>
            </c:dLbl>
            <c:dLbl>
              <c:idx val="2"/>
              <c:layout>
                <c:manualLayout>
                  <c:x val="-2.0461910507710637E-2"/>
                  <c:y val="-4.3450213017592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61-4148-B629-9E5CCCAB1EB3}"/>
                </c:ext>
              </c:extLst>
            </c:dLbl>
            <c:dLbl>
              <c:idx val="3"/>
              <c:layout>
                <c:manualLayout>
                  <c:x val="2.129388507870383E-2"/>
                  <c:y val="-4.63323613589896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61-4148-B629-9E5CCCAB1EB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>
                    <a:solidFill>
                      <a:srgbClr val="000000"/>
                    </a:solidFill>
                    <a:latin typeface="Arial Narrow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Výpočet!$A$80:$A$83</c:f>
              <c:strCache>
                <c:ptCount val="4"/>
                <c:pt idx="0">
                  <c:v>príjem</c:v>
                </c:pt>
                <c:pt idx="1">
                  <c:v>majetok</c:v>
                </c:pt>
                <c:pt idx="2">
                  <c:v>spotrebu</c:v>
                </c:pt>
                <c:pt idx="3">
                  <c:v>podnikanie</c:v>
                </c:pt>
              </c:strCache>
            </c:strRef>
          </c:cat>
          <c:val>
            <c:numRef>
              <c:f>Výpočet!$C$80:$C$83</c:f>
              <c:numCache>
                <c:formatCode>0.00</c:formatCode>
                <c:ptCount val="4"/>
                <c:pt idx="0">
                  <c:v>713.75868743550063</c:v>
                </c:pt>
                <c:pt idx="1">
                  <c:v>19.598357531543055</c:v>
                </c:pt>
                <c:pt idx="2">
                  <c:v>252.51023760651324</c:v>
                </c:pt>
                <c:pt idx="3">
                  <c:v>15.875835954598301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1-4148-B629-9E5CCCAB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7952609727788418"/>
          <c:y val="0.26055581424581337"/>
          <c:w val="0.40563937775981546"/>
          <c:h val="0.4567500000000000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700" b="0" i="0" u="none" strike="noStrike">
              <a:solidFill>
                <a:srgbClr val="000000"/>
              </a:solidFill>
              <a:latin typeface="Calibri"/>
            </a:defRPr>
          </a:pPr>
          <a:endParaRPr lang="sk-SK"/>
        </a:p>
      </c:txPr>
    </c:legend>
    <c:plotVisOnly val="1"/>
    <c:dispBlanksAs val="zero"/>
    <c:showDLblsOverMax val="1"/>
  </c:chart>
  <c:spPr>
    <a:solidFill>
      <a:srgbClr val="F2F2F2"/>
    </a:solidFill>
    <a:ln>
      <a:noFill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2259603</xdr:colOff>
      <xdr:row>67</xdr:row>
      <xdr:rowOff>97707</xdr:rowOff>
    </xdr:from>
    <xdr:to>
      <xdr:col>2</xdr:col>
      <xdr:colOff>6108</xdr:colOff>
      <xdr:row>75</xdr:row>
      <xdr:rowOff>137142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2209800</xdr:colOff>
      <xdr:row>77</xdr:row>
      <xdr:rowOff>137160</xdr:rowOff>
    </xdr:from>
    <xdr:to>
      <xdr:col>1</xdr:col>
      <xdr:colOff>891933</xdr:colOff>
      <xdr:row>84</xdr:row>
      <xdr:rowOff>53339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nv.sk/?pocet-novoevidovanych-vozidiel" TargetMode="External"/><Relationship Id="rId21" Type="http://schemas.openxmlformats.org/officeDocument/2006/relationships/hyperlink" Target="https://www.minv.sk/?celkovy-pocet-evidovanych-vozidiel-v-sr" TargetMode="External"/><Relationship Id="rId42" Type="http://schemas.openxmlformats.org/officeDocument/2006/relationships/hyperlink" Target="https://ww-w.ndsas.sk/spolocnost/profil-spolocnosti" TargetMode="External"/><Relationship Id="rId47" Type="http://schemas.openxmlformats.org/officeDocument/2006/relationships/hyperlink" Target="https://www.socpoist.sk/tabulka-platenia-poistneho-od-1-januara-2019/55433s" TargetMode="External"/><Relationship Id="rId63" Type="http://schemas.openxmlformats.org/officeDocument/2006/relationships/hyperlink" Target="http://datacube.statistics.sk/" TargetMode="External"/><Relationship Id="rId68" Type="http://schemas.openxmlformats.org/officeDocument/2006/relationships/hyperlink" Target="https://finstat.sk/17330190" TargetMode="External"/><Relationship Id="rId84" Type="http://schemas.openxmlformats.org/officeDocument/2006/relationships/hyperlink" Target="https://www.financnasprava.sk/sk/infoservis/statistiky/plnenie-statneho-rozpoctu/_2/D%c3%a1tum%20publikovania/MTA=/NjQ=/MA==/MQ==/MTA=/bnVsbA==/opb" TargetMode="External"/><Relationship Id="rId89" Type="http://schemas.openxmlformats.org/officeDocument/2006/relationships/hyperlink" Target="https://www.financnasprava.sk/sk/infoservis/statistiky/plnenie-statneho-rozpoctu/_rok-2019" TargetMode="External"/><Relationship Id="rId7" Type="http://schemas.openxmlformats.org/officeDocument/2006/relationships/hyperlink" Target="https://www.finstat.sk/35919001/zavierka" TargetMode="External"/><Relationship Id="rId71" Type="http://schemas.openxmlformats.org/officeDocument/2006/relationships/hyperlink" Target="https://www.finstat.sk/36007099" TargetMode="External"/><Relationship Id="rId92" Type="http://schemas.openxmlformats.org/officeDocument/2006/relationships/hyperlink" Target="https://www.financnasprava.sk/sk/infoservis/statistiky/plnenie-statneho-rozpoctu/_2/D%c3%a1tum%20publikovania/MTA=/NjQ=/MA==/MQ==/MTA=/bnVsbA==/opb" TargetMode="External"/><Relationship Id="rId2" Type="http://schemas.openxmlformats.org/officeDocument/2006/relationships/hyperlink" Target="https://www.socpoist.sk/pocet-vyplacanych-dochodkov--v-mesiacoch-/3150s" TargetMode="External"/><Relationship Id="rId16" Type="http://schemas.openxmlformats.org/officeDocument/2006/relationships/hyperlink" Target="https://www.spp.sk/sk/domacnosti/plyn/tarify-a-ceny/" TargetMode="External"/><Relationship Id="rId29" Type="http://schemas.openxmlformats.org/officeDocument/2006/relationships/hyperlink" Target="https://www.slaspo.sk/27722" TargetMode="External"/><Relationship Id="rId11" Type="http://schemas.openxmlformats.org/officeDocument/2006/relationships/hyperlink" Target="https://www.vszp.sk/files/Vyr_spr/vyrocna-sprava-za-rok-2019.pdf" TargetMode="External"/><Relationship Id="rId24" Type="http://schemas.openxmlformats.org/officeDocument/2006/relationships/hyperlink" Target="https://www.teleoff.gov.sk/data/files/49811_vestnik7.pdf" TargetMode="External"/><Relationship Id="rId32" Type="http://schemas.openxmlformats.org/officeDocument/2006/relationships/hyperlink" Target="http://www.epi.sk/zz/2004-98" TargetMode="External"/><Relationship Id="rId37" Type="http://schemas.openxmlformats.org/officeDocument/2006/relationships/hyperlink" Target="https://www.slov-lex.sk/pravne-predpisy/SK/ZZ/2004/43/20190101" TargetMode="External"/><Relationship Id="rId40" Type="http://schemas.openxmlformats.org/officeDocument/2006/relationships/hyperlink" Target="https://www.nbs.sk/sk/statisticke-udaje/financne-institucie/banky/statisticke-udaje-penaznych-financnych-institucii/vklady" TargetMode="External"/><Relationship Id="rId45" Type="http://schemas.openxmlformats.org/officeDocument/2006/relationships/hyperlink" Target="http://datacube.statistics.sk/" TargetMode="External"/><Relationship Id="rId53" Type="http://schemas.openxmlformats.org/officeDocument/2006/relationships/hyperlink" Target="https://www.slov-lex.sk/pravne-predpisy/SK/ZZ/2003/461/20201031.html" TargetMode="External"/><Relationship Id="rId58" Type="http://schemas.openxmlformats.org/officeDocument/2006/relationships/hyperlink" Target="https://www.slov-lex.sk/pravne-predpisy/SK/ZZ/2004/564/20160101.html" TargetMode="External"/><Relationship Id="rId66" Type="http://schemas.openxmlformats.org/officeDocument/2006/relationships/hyperlink" Target="https://www.mfsr.sk/sk/financie/statne-vykaznictvo/klucove-dokumenty-uctovne-zavierky/statny-zaverecny-ucet-sr/" TargetMode="External"/><Relationship Id="rId74" Type="http://schemas.openxmlformats.org/officeDocument/2006/relationships/hyperlink" Target="https://www.sadtn.sk/files/Vyrocna_%20sprava_2017.pdf" TargetMode="External"/><Relationship Id="rId79" Type="http://schemas.openxmlformats.org/officeDocument/2006/relationships/hyperlink" Target="http://www.statistics.sk/" TargetMode="External"/><Relationship Id="rId87" Type="http://schemas.openxmlformats.org/officeDocument/2006/relationships/hyperlink" Target="https://www.finance.gov.sk/sk/financie/statne-vykaznictvo/statny-zaverecny-ucet-sr/" TargetMode="External"/><Relationship Id="rId102" Type="http://schemas.openxmlformats.org/officeDocument/2006/relationships/hyperlink" Target="https://www.mfsr.sk/sk/financie/statne-vykaznictvo/klucove-dokumenty-uctovne-zavierky/statny-zaverecny-ucet-sr/" TargetMode="External"/><Relationship Id="rId5" Type="http://schemas.openxmlformats.org/officeDocument/2006/relationships/hyperlink" Target="https://www.finstat.sk/35919001/zavierka" TargetMode="External"/><Relationship Id="rId61" Type="http://schemas.openxmlformats.org/officeDocument/2006/relationships/hyperlink" Target="http://datacube.statistics.sk/" TargetMode="External"/><Relationship Id="rId82" Type="http://schemas.openxmlformats.org/officeDocument/2006/relationships/hyperlink" Target="https://www.teleoff.gov.sk/data/files/49636_2019.pdf" TargetMode="External"/><Relationship Id="rId90" Type="http://schemas.openxmlformats.org/officeDocument/2006/relationships/hyperlink" Target="https://www.soi.sk/sk/Kontrolna-cinnost/Vyrocne-spravy.soi" TargetMode="External"/><Relationship Id="rId95" Type="http://schemas.openxmlformats.org/officeDocument/2006/relationships/hyperlink" Target="https://www.slov-lex.sk/pravne-predpisy/SK/ZZ/2018/385/20190101.html" TargetMode="External"/><Relationship Id="rId19" Type="http://schemas.openxmlformats.org/officeDocument/2006/relationships/hyperlink" Target="https://www.slov-lex.sk/pravne-predpisy/SK/ZZ/2012/340/" TargetMode="External"/><Relationship Id="rId14" Type="http://schemas.openxmlformats.org/officeDocument/2006/relationships/hyperlink" Target="https://www.mfsr.sk/sk/financie/statne-vykaznictvo/klucove-dokumenty-uctovne-zavierky/statny-zaverecny-ucet-sr/" TargetMode="External"/><Relationship Id="rId22" Type="http://schemas.openxmlformats.org/officeDocument/2006/relationships/hyperlink" Target="https://www.finstat.sk/35919001/zavierka" TargetMode="External"/><Relationship Id="rId27" Type="http://schemas.openxmlformats.org/officeDocument/2006/relationships/hyperlink" Target="https://www.minv.sk/?pocet-individualne-dovezenych-vozidiel" TargetMode="External"/><Relationship Id="rId30" Type="http://schemas.openxmlformats.org/officeDocument/2006/relationships/hyperlink" Target="http://datacube.statistics.sk/" TargetMode="External"/><Relationship Id="rId35" Type="http://schemas.openxmlformats.org/officeDocument/2006/relationships/hyperlink" Target="https://www.spp.sk/sk/domacnosti/plyn/tarify-a-ceny/" TargetMode="External"/><Relationship Id="rId43" Type="http://schemas.openxmlformats.org/officeDocument/2006/relationships/hyperlink" Target="https://ww-w.ndsas.sk/spolocnost/profil-spolocnosti" TargetMode="External"/><Relationship Id="rId48" Type="http://schemas.openxmlformats.org/officeDocument/2006/relationships/hyperlink" Target="https://www.sepsas.sk/Rocenka.asp?kod=496" TargetMode="External"/><Relationship Id="rId56" Type="http://schemas.openxmlformats.org/officeDocument/2006/relationships/hyperlink" Target="https://www.slov-lex.sk/pravne-predpisy/SK/ZZ/2004/580/" TargetMode="External"/><Relationship Id="rId64" Type="http://schemas.openxmlformats.org/officeDocument/2006/relationships/hyperlink" Target="https://www.mfsr.sk/sk/financie/statne-vykaznictvo/klucove-dokumenty-uctovne-zavierky/statny-zaverecny-ucet-sr/" TargetMode="External"/><Relationship Id="rId69" Type="http://schemas.openxmlformats.org/officeDocument/2006/relationships/hyperlink" Target="https://www.finstat.sk/00179710" TargetMode="External"/><Relationship Id="rId77" Type="http://schemas.openxmlformats.org/officeDocument/2006/relationships/hyperlink" Target="https://www.finstat.sk/31701914" TargetMode="External"/><Relationship Id="rId100" Type="http://schemas.openxmlformats.org/officeDocument/2006/relationships/hyperlink" Target="https://bratislava.sk/sk/zaverecny-ucet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calendar.zoznam.sk/worktime-sksk.php?hy=2020" TargetMode="External"/><Relationship Id="rId51" Type="http://schemas.openxmlformats.org/officeDocument/2006/relationships/hyperlink" Target="https://www.slov-lex.sk/pravne-predpisy/SK/ZZ/2003/461/20201031.html" TargetMode="External"/><Relationship Id="rId72" Type="http://schemas.openxmlformats.org/officeDocument/2006/relationships/hyperlink" Target="https://finstat.sk/36545082" TargetMode="External"/><Relationship Id="rId80" Type="http://schemas.openxmlformats.org/officeDocument/2006/relationships/hyperlink" Target="https://www.nielsen.com/sk/sk/insights/article/2019/slovaks-smoke-from-year-to-year-more/" TargetMode="External"/><Relationship Id="rId85" Type="http://schemas.openxmlformats.org/officeDocument/2006/relationships/hyperlink" Target="https://www.financnasprava.sk/_img/pfsedit/Dokumenty_PFS/Zverejnovanie_dok/Sprievodca/Sprievodca_danami/2018/2018.01.12_SPRIEVODCA%20DANAMI_%20DPH.pdf" TargetMode="External"/><Relationship Id="rId93" Type="http://schemas.openxmlformats.org/officeDocument/2006/relationships/hyperlink" Target="http://www.urso.gov.sk/?q=content/%C3%BArad-spr%C3%A1vy-%C3%Baradu" TargetMode="External"/><Relationship Id="rId98" Type="http://schemas.openxmlformats.org/officeDocument/2006/relationships/hyperlink" Target="https://www.slov-lex.sk/pravne-predpisy/SK/ZZ/2003/595/20200101.html" TargetMode="External"/><Relationship Id="rId3" Type="http://schemas.openxmlformats.org/officeDocument/2006/relationships/hyperlink" Target="https://www.minv.sk/?spravne-poplatky-1" TargetMode="External"/><Relationship Id="rId12" Type="http://schemas.openxmlformats.org/officeDocument/2006/relationships/hyperlink" Target="https://www.mfsr.sk/sk/financie/statne-vykaznictvo/klucove-dokumenty-uctovne-zavierky/statny-zaverecny-ucet-sr/" TargetMode="External"/><Relationship Id="rId17" Type="http://schemas.openxmlformats.org/officeDocument/2006/relationships/hyperlink" Target="https://www.spp.sk/sk/domacnosti/elektrina/dokumenty-a-tlaciva-na-stiahnutie/" TargetMode="External"/><Relationship Id="rId25" Type="http://schemas.openxmlformats.org/officeDocument/2006/relationships/hyperlink" Target="https://www.minv.sk/?celkovy-pocet-evidovanych-vozidiel-v-sr" TargetMode="External"/><Relationship Id="rId33" Type="http://schemas.openxmlformats.org/officeDocument/2006/relationships/hyperlink" Target="http://www.svetdopravy.sk/moznost-podpory-refundacie-spotrebnej-dane-z-mineralnych-olejov-na-uzemi-slovenskej-republiky/" TargetMode="External"/><Relationship Id="rId38" Type="http://schemas.openxmlformats.org/officeDocument/2006/relationships/hyperlink" Target="https://www.finstat.sk/35919001/zavierka" TargetMode="External"/><Relationship Id="rId46" Type="http://schemas.openxmlformats.org/officeDocument/2006/relationships/hyperlink" Target="http://www.ass.sk/tlacova-sprava-k-vyrocnym-vysledkom-kolektivneho-investovania-na-slovensku-za-rok-2019" TargetMode="External"/><Relationship Id="rId59" Type="http://schemas.openxmlformats.org/officeDocument/2006/relationships/hyperlink" Target="https://www.slov-lex.sk/pravne-predpisy/SK/ZZ/2004/564/20160101.html" TargetMode="External"/><Relationship Id="rId67" Type="http://schemas.openxmlformats.org/officeDocument/2006/relationships/hyperlink" Target="https://www.finance.gov.sk/sk/financie/statne-vykaznictvo/statny-zaverecny-ucet-sr/" TargetMode="External"/><Relationship Id="rId103" Type="http://schemas.openxmlformats.org/officeDocument/2006/relationships/hyperlink" Target="https://www.slov-lex.sk/pravne-predpisy/SK/ZZ/2004/98/20190301.html" TargetMode="External"/><Relationship Id="rId20" Type="http://schemas.openxmlformats.org/officeDocument/2006/relationships/hyperlink" Target="https://www.stkpezinok.sk/cennik-sluzieb-stk-pezinok" TargetMode="External"/><Relationship Id="rId41" Type="http://schemas.openxmlformats.org/officeDocument/2006/relationships/hyperlink" Target="https://www.slov-lex.sk/pravne-predpisy/SK/ZZ/2003/595/20191201.html" TargetMode="External"/><Relationship Id="rId54" Type="http://schemas.openxmlformats.org/officeDocument/2006/relationships/hyperlink" Target="https://www.slov-lex.sk/pravne-predpisy/SK/ZZ/2004/43/20201031.html" TargetMode="External"/><Relationship Id="rId62" Type="http://schemas.openxmlformats.org/officeDocument/2006/relationships/hyperlink" Target="http://datacube.statistics.sk/" TargetMode="External"/><Relationship Id="rId70" Type="http://schemas.openxmlformats.org/officeDocument/2006/relationships/hyperlink" Target="https://www.finstat.sk/00492736/zavierka" TargetMode="External"/><Relationship Id="rId75" Type="http://schemas.openxmlformats.org/officeDocument/2006/relationships/hyperlink" Target="https://www.slaspo.sk/27830" TargetMode="External"/><Relationship Id="rId83" Type="http://schemas.openxmlformats.org/officeDocument/2006/relationships/hyperlink" Target="https://www.soi.sk/files/documents/vyrocne-spravy/2020/vs%202020_finalna%20verzia.pdf" TargetMode="External"/><Relationship Id="rId88" Type="http://schemas.openxmlformats.org/officeDocument/2006/relationships/hyperlink" Target="https://www.financnasprava.sk/_img/pfsedit/Dokumenty_PFS/Zverejnovanie_dok/Statistiky/Statny_rozpocet/2019/2020.01.08_PrijmySR_2019_12.pdf" TargetMode="External"/><Relationship Id="rId91" Type="http://schemas.openxmlformats.org/officeDocument/2006/relationships/hyperlink" Target="https://www.teleoff.gov.sk/verejne-odpocty-a-vyrocne-spravy/" TargetMode="External"/><Relationship Id="rId96" Type="http://schemas.openxmlformats.org/officeDocument/2006/relationships/hyperlink" Target="https://www.slaspo.sk/27830" TargetMode="External"/><Relationship Id="rId1" Type="http://schemas.openxmlformats.org/officeDocument/2006/relationships/hyperlink" Target="http://www.poistovne.sk/30241-sk/ake-poplatky-vas-pri-dochodkovom-sporeni-v-2-pilieri-cakaju.php" TargetMode="External"/><Relationship Id="rId6" Type="http://schemas.openxmlformats.org/officeDocument/2006/relationships/hyperlink" Target="https://www.zssk.sk/wp-content/uploads/2020/08/Uctovna-zavierka_SK_2019_FINAL_WEB.pdf" TargetMode="External"/><Relationship Id="rId15" Type="http://schemas.openxmlformats.org/officeDocument/2006/relationships/hyperlink" Target="https://www.geotherm.sk/usetrit-za-vodu/" TargetMode="External"/><Relationship Id="rId23" Type="http://schemas.openxmlformats.org/officeDocument/2006/relationships/hyperlink" Target="https://www.tpdcontrol.sk/cennik.html" TargetMode="External"/><Relationship Id="rId28" Type="http://schemas.openxmlformats.org/officeDocument/2006/relationships/hyperlink" Target="https://www.minv.sk/?pocet-zmien-drzby-vozidiel" TargetMode="External"/><Relationship Id="rId36" Type="http://schemas.openxmlformats.org/officeDocument/2006/relationships/hyperlink" Target="https://www.spp.sk/sk/domacnosti/elektrina/ceny/cenniky-elektrickej-energie/" TargetMode="External"/><Relationship Id="rId49" Type="http://schemas.openxmlformats.org/officeDocument/2006/relationships/hyperlink" Target="https://www.employment.gov.sk/sk/socialne-poistenie-dochodkovy-system/dochodkovy-system/ii-pilier-starobne-dochodkove-sporenie/prispevky-starobne-dochodkove-sporenie-2.html" TargetMode="External"/><Relationship Id="rId57" Type="http://schemas.openxmlformats.org/officeDocument/2006/relationships/hyperlink" Target="https://www.slov-lex.sk/pravne-predpisy/SK/ZZ/2004/564/20160101.html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s://podpora.financnasprava.sk/181867-Stravovanie-zamestnancov" TargetMode="External"/><Relationship Id="rId31" Type="http://schemas.openxmlformats.org/officeDocument/2006/relationships/hyperlink" Target="https://www.mfsr.sk/sk/financie/statne-vykaznictvo/klucove-dokumenty-uctovne-zavierky/statny-zaverecny-ucet-sr/" TargetMode="External"/><Relationship Id="rId44" Type="http://schemas.openxmlformats.org/officeDocument/2006/relationships/hyperlink" Target="http://datacube.statistics.sk/" TargetMode="External"/><Relationship Id="rId52" Type="http://schemas.openxmlformats.org/officeDocument/2006/relationships/hyperlink" Target="https://www.slov-lex.sk/pravne-predpisy/SK/ZZ/2003/461/20201031.html" TargetMode="External"/><Relationship Id="rId60" Type="http://schemas.openxmlformats.org/officeDocument/2006/relationships/hyperlink" Target="http://datacube.statistics.sk/" TargetMode="External"/><Relationship Id="rId65" Type="http://schemas.openxmlformats.org/officeDocument/2006/relationships/hyperlink" Target="https://www.mfsr.sk/sk/financie/statne-vykaznictvo/klucove-dokumenty-uctovne-zavierky/statny-zaverecny-ucet-sr/" TargetMode="External"/><Relationship Id="rId73" Type="http://schemas.openxmlformats.org/officeDocument/2006/relationships/hyperlink" Target="https://www.finstat.sk/36016411" TargetMode="External"/><Relationship Id="rId78" Type="http://schemas.openxmlformats.org/officeDocument/2006/relationships/hyperlink" Target="http://www.statistics.sk/" TargetMode="External"/><Relationship Id="rId81" Type="http://schemas.openxmlformats.org/officeDocument/2006/relationships/hyperlink" Target="https://bratislava.blob.core.windows.net/media/Default/Dokumenty/N%C3%A1vrh%20Z%C3%A1vere%C4%8Dn%C3%A9ho%20%C3%BA%C4%8Dtu%20HM%20SR%20Bratislavy%20za%20rok%202020.pdf" TargetMode="External"/><Relationship Id="rId86" Type="http://schemas.openxmlformats.org/officeDocument/2006/relationships/hyperlink" Target="https://www.financnasprava.sk/_img/pfsedit/Dokumenty_PFS/Zverejnovanie_dok/Statistiky/Statny_rozpocet/2020/2021.01.05_prijmy_SR_2020_12.pdf" TargetMode="External"/><Relationship Id="rId94" Type="http://schemas.openxmlformats.org/officeDocument/2006/relationships/hyperlink" Target="https://www.financnasprava.sk/_img/pfsedit/Dokumenty_PFS/Zverejnovanie_dok/Statistiky/Statny_rozpocet/2020/2021.01.05_prijmy_SR_2020_12.pdf" TargetMode="External"/><Relationship Id="rId99" Type="http://schemas.openxmlformats.org/officeDocument/2006/relationships/hyperlink" Target="https://www.slov-lex.sk/pravne-predpisy/SK/ZZ/2004/222/vyhlasene_znenie.html" TargetMode="External"/><Relationship Id="rId101" Type="http://schemas.openxmlformats.org/officeDocument/2006/relationships/hyperlink" Target="https://www.mfsr.sk/sk/financie/statne-vykaznictvo/klucove-dokumenty-uctovne-zavierky/statny-zaverecny-ucet-sr/" TargetMode="External"/><Relationship Id="rId4" Type="http://schemas.openxmlformats.org/officeDocument/2006/relationships/hyperlink" Target="http://www.minv.sk/?zmena-vlastnictva-vozidla" TargetMode="External"/><Relationship Id="rId9" Type="http://schemas.openxmlformats.org/officeDocument/2006/relationships/hyperlink" Target="https://podpora.financnasprava.sk/181867-Stravovanie-zamestnancov" TargetMode="External"/><Relationship Id="rId13" Type="http://schemas.openxmlformats.org/officeDocument/2006/relationships/hyperlink" Target="https://www.mfsr.sk/sk/financie/statne-vykaznictvo/klucove-dokumenty-uctovne-zavierky/statny-zaverecny-ucet-sr/" TargetMode="External"/><Relationship Id="rId18" Type="http://schemas.openxmlformats.org/officeDocument/2006/relationships/hyperlink" Target="https://www.sepsas.sk/Dokumenty/RocenkySed/ROCENKA_SED_2018.pdf" TargetMode="External"/><Relationship Id="rId39" Type="http://schemas.openxmlformats.org/officeDocument/2006/relationships/hyperlink" Target="https://www.mfsr.sk/sk/financie/statne-vykaznictvo/klucove-dokumenty-uctovne-zavierky/statny-zaverecny-ucet-sr/" TargetMode="External"/><Relationship Id="rId34" Type="http://schemas.openxmlformats.org/officeDocument/2006/relationships/hyperlink" Target="https://www.financnasprava.sk/sk/obcania/dane/spotrebne-dane/spotrebne-dane-obacnia-min" TargetMode="External"/><Relationship Id="rId50" Type="http://schemas.openxmlformats.org/officeDocument/2006/relationships/hyperlink" Target="https://www.socpoist.sk/struktura-prijmov/1364s" TargetMode="External"/><Relationship Id="rId55" Type="http://schemas.openxmlformats.org/officeDocument/2006/relationships/hyperlink" Target="https://www.slov-lex.sk/pravne-predpisy/SK/ZZ/2004/580/" TargetMode="External"/><Relationship Id="rId76" Type="http://schemas.openxmlformats.org/officeDocument/2006/relationships/hyperlink" Target="https://www.nbs.sk/sk/statisticke-udaje/financne-institucie/banky/statisticke-udaje-penaznych-financnych-institucii" TargetMode="External"/><Relationship Id="rId97" Type="http://schemas.openxmlformats.org/officeDocument/2006/relationships/hyperlink" Target="https://www.slov-lex.sk/pravne-predpisy/SK/ZZ/2001/311/20191119.html" TargetMode="External"/><Relationship Id="rId104" Type="http://schemas.openxmlformats.org/officeDocument/2006/relationships/hyperlink" Target="https://www.financnasprava.sk/_img/pfsedit/Dokumenty_PFS/Zverejnovanie_dok/Dane/Spotrebne_dane/2019/2019.02.19_cena_c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5"/>
  <sheetViews>
    <sheetView showGridLines="0" tabSelected="1" zoomScale="120" zoomScaleNormal="120" workbookViewId="0">
      <selection activeCell="AP62" sqref="AP62"/>
    </sheetView>
  </sheetViews>
  <sheetFormatPr defaultColWidth="8.88671875" defaultRowHeight="15" customHeight="1"/>
  <cols>
    <col min="1" max="1" width="55.6640625" style="1" customWidth="1"/>
    <col min="2" max="2" width="11.109375" style="1" customWidth="1"/>
    <col min="3" max="3" width="15.33203125" style="1" customWidth="1"/>
    <col min="4" max="5" width="7.6640625" style="1" customWidth="1"/>
    <col min="6" max="6" width="7.109375" style="1" customWidth="1"/>
    <col min="7" max="7" width="7.6640625" style="1" customWidth="1"/>
    <col min="8" max="8" width="52.109375" style="1" hidden="1" customWidth="1"/>
    <col min="9" max="9" width="14" style="1" hidden="1" customWidth="1"/>
    <col min="10" max="10" width="8.5546875" style="1" hidden="1" customWidth="1"/>
    <col min="11" max="11" width="12.88671875" style="1" hidden="1" customWidth="1"/>
    <col min="12" max="13" width="8.88671875" style="1" hidden="1" customWidth="1"/>
    <col min="14" max="14" width="17.109375" style="1" hidden="1" customWidth="1"/>
    <col min="15" max="39" width="8.88671875" style="1" hidden="1" customWidth="1"/>
    <col min="40" max="256" width="8.88671875" style="1" customWidth="1"/>
  </cols>
  <sheetData>
    <row r="1" spans="1:256" ht="16.5" customHeight="1">
      <c r="A1" s="144" t="s">
        <v>330</v>
      </c>
      <c r="B1" s="145"/>
      <c r="C1" s="146"/>
      <c r="D1" s="146"/>
      <c r="E1" s="146"/>
      <c r="F1" s="147"/>
      <c r="G1" s="148"/>
      <c r="H1" s="2"/>
      <c r="J1" s="141" t="s">
        <v>331</v>
      </c>
    </row>
    <row r="2" spans="1:256" ht="22.5" customHeight="1">
      <c r="A2" s="149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150" t="s">
        <v>6</v>
      </c>
      <c r="H2" s="3" t="s">
        <v>7</v>
      </c>
      <c r="I2" s="82" t="s">
        <v>267</v>
      </c>
      <c r="J2" s="96" t="s">
        <v>268</v>
      </c>
      <c r="L2" s="1">
        <f>1133/1092</f>
        <v>1.0375457875457876</v>
      </c>
    </row>
    <row r="3" spans="1:256" ht="14.7" customHeight="1">
      <c r="A3" s="151" t="str">
        <f>"Celková odmena patriaca zamestnancovi (pri priemernej hrubej mzde "&amp;$B$92&amp;" EUR)"</f>
        <v>Celková odmena patriaca zamestnancovi (pri priemernej hrubej mzde 1133 EUR)</v>
      </c>
      <c r="B3" s="66"/>
      <c r="C3" s="67"/>
      <c r="D3" s="67"/>
      <c r="E3" s="68"/>
      <c r="F3" s="69"/>
      <c r="G3" s="152">
        <f>$B$92*(1+$B$93)+$B$95/12*$B$96*$B$97+$B$185/12</f>
        <v>1598.7936249999998</v>
      </c>
      <c r="H3" s="4"/>
    </row>
    <row r="4" spans="1:256" ht="14.7" customHeight="1">
      <c r="A4" s="153" t="s">
        <v>8</v>
      </c>
      <c r="B4" s="70" t="s">
        <v>9</v>
      </c>
      <c r="C4" s="71">
        <f>-D4/G3</f>
        <v>2.5362951394055006E-2</v>
      </c>
      <c r="D4" s="72">
        <f>-($B$95-20)/12*$B$96*$B$97</f>
        <v>-40.550125000000001</v>
      </c>
      <c r="E4" s="71">
        <f t="shared" ref="E4:E34" si="0">-D4/$G$3</f>
        <v>2.5362951394055006E-2</v>
      </c>
      <c r="F4" s="70" t="s">
        <v>10</v>
      </c>
      <c r="G4" s="154">
        <f t="shared" ref="G4:G34" si="1">G3+D4</f>
        <v>1558.2434999999998</v>
      </c>
      <c r="H4" s="4"/>
    </row>
    <row r="5" spans="1:256" ht="14.7" customHeight="1">
      <c r="A5" s="155" t="s">
        <v>257</v>
      </c>
      <c r="B5" s="73" t="s">
        <v>9</v>
      </c>
      <c r="C5" s="74">
        <f>-D5/G3</f>
        <v>1.4333724070651501E-2</v>
      </c>
      <c r="D5" s="75">
        <f>-$B$185/12</f>
        <v>-22.916666666666668</v>
      </c>
      <c r="E5" s="74">
        <f t="shared" ref="E5" si="2">-D5/$G$3</f>
        <v>1.4333724070651501E-2</v>
      </c>
      <c r="F5" s="73" t="s">
        <v>10</v>
      </c>
      <c r="G5" s="156">
        <f t="shared" ref="G5:G6" si="3">G4+D5</f>
        <v>1535.3268333333331</v>
      </c>
      <c r="H5" s="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14.7" customHeight="1">
      <c r="A6" s="155" t="s">
        <v>11</v>
      </c>
      <c r="B6" s="73" t="s">
        <v>9</v>
      </c>
      <c r="C6" s="74">
        <f>-D6/G3</f>
        <v>0.20976315814369109</v>
      </c>
      <c r="D6" s="75">
        <f>-($B$99+$B$98-$B$100)*$B$92</f>
        <v>-335.36800000000011</v>
      </c>
      <c r="E6" s="74">
        <f t="shared" si="0"/>
        <v>0.20976315814369109</v>
      </c>
      <c r="F6" s="73" t="s">
        <v>12</v>
      </c>
      <c r="G6" s="156">
        <f t="shared" si="3"/>
        <v>1199.9588333333329</v>
      </c>
      <c r="H6" s="7"/>
    </row>
    <row r="7" spans="1:256" ht="14.7" customHeight="1">
      <c r="A7" s="155" t="str">
        <f>"Odvody do dôchodkovej správcovskej spoločnosti ("&amp;(100%-$B$101)&amp;""&amp;")"</f>
        <v>Odvody do dôchodkovej správcovskej spoločnosti (0,987)</v>
      </c>
      <c r="B7" s="73" t="s">
        <v>9</v>
      </c>
      <c r="C7" s="74">
        <f>-D7/G3</f>
        <v>3.4972337345916059E-2</v>
      </c>
      <c r="D7" s="75">
        <f>-$B$100*$B$92*(1-$B$101)</f>
        <v>-55.913550000000008</v>
      </c>
      <c r="E7" s="74">
        <f t="shared" si="0"/>
        <v>3.4972337345916059E-2</v>
      </c>
      <c r="F7" s="73" t="s">
        <v>12</v>
      </c>
      <c r="G7" s="156">
        <f t="shared" si="1"/>
        <v>1144.0452833333329</v>
      </c>
      <c r="H7" s="7"/>
    </row>
    <row r="8" spans="1:256" ht="14.7" customHeight="1">
      <c r="A8" s="155" t="str">
        <f>"Odvody do dôchodkovej správcovskej spoločnosti ("&amp;$B$101&amp;")"</f>
        <v>Odvody do dôchodkovej správcovskej spoločnosti (0,013)</v>
      </c>
      <c r="B8" s="73" t="s">
        <v>9</v>
      </c>
      <c r="C8" s="74">
        <f>-D8/G3</f>
        <v>4.6062855673445675E-4</v>
      </c>
      <c r="D8" s="75">
        <f>-$B$100*$B$92*$B$101</f>
        <v>-0.73645000000000016</v>
      </c>
      <c r="E8" s="74">
        <f t="shared" si="0"/>
        <v>4.6062855673445675E-4</v>
      </c>
      <c r="F8" s="73" t="s">
        <v>10</v>
      </c>
      <c r="G8" s="156">
        <f t="shared" si="1"/>
        <v>1143.3088333333328</v>
      </c>
      <c r="H8" s="8" t="s">
        <v>13</v>
      </c>
    </row>
    <row r="9" spans="1:256" ht="14.7" customHeight="1">
      <c r="A9" s="155" t="str">
        <f>"Odvody do zdravotnej poisťovne ("&amp;(100%-B101)&amp;")"</f>
        <v>Odvody do zdravotnej poisťovne (0,987)</v>
      </c>
      <c r="B9" s="73" t="s">
        <v>9</v>
      </c>
      <c r="C9" s="74">
        <f>-D9/G3</f>
        <v>9.5531528029454096E-2</v>
      </c>
      <c r="D9" s="75">
        <f>-($B$102+$B$103)*$B$92*(1-$B$104)</f>
        <v>-152.735198</v>
      </c>
      <c r="E9" s="74">
        <f t="shared" si="0"/>
        <v>9.5531528029454096E-2</v>
      </c>
      <c r="F9" s="73" t="s">
        <v>12</v>
      </c>
      <c r="G9" s="156">
        <f t="shared" si="1"/>
        <v>990.57363533333285</v>
      </c>
      <c r="H9" s="7"/>
    </row>
    <row r="10" spans="1:256" ht="14.7" customHeight="1">
      <c r="A10" s="155" t="str">
        <f>"Odvody do zdravotnej poisťovne ("&amp;$B101&amp;")"</f>
        <v>Odvody do zdravotnej poisťovne (0,013)</v>
      </c>
      <c r="B10" s="73" t="s">
        <v>9</v>
      </c>
      <c r="C10" s="74">
        <f>-D10/G3</f>
        <v>3.6807764979673355E-3</v>
      </c>
      <c r="D10" s="75">
        <f>-($B$102+$B$103)*$B$92*$B$104</f>
        <v>-5.8848020000000005</v>
      </c>
      <c r="E10" s="74">
        <f t="shared" si="0"/>
        <v>3.6807764979673355E-3</v>
      </c>
      <c r="F10" s="73" t="s">
        <v>10</v>
      </c>
      <c r="G10" s="156">
        <f t="shared" si="1"/>
        <v>984.68883333333281</v>
      </c>
      <c r="H10" s="7"/>
    </row>
    <row r="11" spans="1:256" ht="14.7" customHeight="1">
      <c r="A11" s="155" t="str">
        <f>"Daň z príjmov fyzických osôb ("&amp;$B$107&amp;")"</f>
        <v>Daň z príjmov fyzických osôb (0)</v>
      </c>
      <c r="B11" s="73" t="s">
        <v>9</v>
      </c>
      <c r="C11" s="74">
        <f>-D11/G3</f>
        <v>0</v>
      </c>
      <c r="D11" s="75">
        <f>-$B$105/$B$106/12*$B$107</f>
        <v>0</v>
      </c>
      <c r="E11" s="74">
        <f t="shared" si="0"/>
        <v>0</v>
      </c>
      <c r="F11" s="73" t="s">
        <v>12</v>
      </c>
      <c r="G11" s="156">
        <f t="shared" si="1"/>
        <v>984.68883333333281</v>
      </c>
      <c r="H11" s="7"/>
    </row>
    <row r="12" spans="1:256" ht="14.7" customHeight="1">
      <c r="A12" s="155" t="str">
        <f>"Daň z príjmov fyzických osôb ("&amp;$B$108&amp;")"</f>
        <v>Daň z príjmov fyzických osôb (0,3)</v>
      </c>
      <c r="B12" s="73" t="s">
        <v>9</v>
      </c>
      <c r="C12" s="74">
        <f>-D12/G3</f>
        <v>1.8699204364572168E-2</v>
      </c>
      <c r="D12" s="75">
        <f>-$B$105/$B$106/12*$B$108</f>
        <v>-29.896168730650157</v>
      </c>
      <c r="E12" s="74">
        <f t="shared" si="0"/>
        <v>1.8699204364572168E-2</v>
      </c>
      <c r="F12" s="73" t="s">
        <v>14</v>
      </c>
      <c r="G12" s="156">
        <f t="shared" si="1"/>
        <v>954.79266460268263</v>
      </c>
      <c r="H12" s="7"/>
    </row>
    <row r="13" spans="1:256" ht="14.7" customHeight="1">
      <c r="A13" s="157" t="str">
        <f>"Daň z príjmov fyzických osôb ("&amp;$B$109&amp;")"</f>
        <v>Daň z príjmov fyzických osôb (0,7)</v>
      </c>
      <c r="B13" s="76" t="s">
        <v>9</v>
      </c>
      <c r="C13" s="77">
        <f>-D13/G3</f>
        <v>4.3631476850668399E-2</v>
      </c>
      <c r="D13" s="78">
        <f>-$B$105/$B$106/12*$B$109</f>
        <v>-69.757727038183702</v>
      </c>
      <c r="E13" s="77">
        <f t="shared" si="0"/>
        <v>4.3631476850668399E-2</v>
      </c>
      <c r="F13" s="76" t="s">
        <v>15</v>
      </c>
      <c r="G13" s="158">
        <f t="shared" si="1"/>
        <v>885.03493756449893</v>
      </c>
      <c r="H13" s="4"/>
      <c r="I13" s="39">
        <f>G3-G13</f>
        <v>713.75868743550086</v>
      </c>
      <c r="J13" s="94">
        <f>(I13/G3)*100</f>
        <v>44.643578525371026</v>
      </c>
      <c r="K13" s="95" t="s">
        <v>264</v>
      </c>
      <c r="L13" s="1">
        <f>G13/G3</f>
        <v>0.55356421474628981</v>
      </c>
      <c r="M13" s="1">
        <f>1-L13</f>
        <v>0.44643578525371019</v>
      </c>
      <c r="N13" s="48">
        <f>SUM(C4:C13)</f>
        <v>0.44643578525371008</v>
      </c>
    </row>
    <row r="14" spans="1:256" ht="14.7" customHeight="1">
      <c r="A14" s="155" t="s">
        <v>16</v>
      </c>
      <c r="B14" s="80" t="s">
        <v>17</v>
      </c>
      <c r="C14" s="81">
        <f>$B$117*$B$113/($B$113+$B$114)+$B$118*($B$114/($B$113+$B$114))</f>
        <v>0.6645239166433452</v>
      </c>
      <c r="D14" s="72">
        <f>-C$14*($B$115*$B$113/($B$113+$B$114)+$B$116*$B$114/($B$113+$B$114))*(($B$113+$B$114)/SUM($B$110:$B$112))/12</f>
        <v>-2.6561696254089338</v>
      </c>
      <c r="E14" s="71">
        <f t="shared" si="0"/>
        <v>1.6613586543472326E-3</v>
      </c>
      <c r="F14" s="70" t="s">
        <v>15</v>
      </c>
      <c r="G14" s="154">
        <f t="shared" si="1"/>
        <v>882.37876793909004</v>
      </c>
      <c r="H14" s="9"/>
      <c r="J14" s="142">
        <f>100-J13</f>
        <v>55.356421474628974</v>
      </c>
      <c r="K14" s="143" t="s">
        <v>334</v>
      </c>
    </row>
    <row r="15" spans="1:256" ht="14.7" customHeight="1">
      <c r="A15" s="155" t="s">
        <v>328</v>
      </c>
      <c r="B15" s="82" t="s">
        <v>17</v>
      </c>
      <c r="C15" s="75">
        <v>28.134656249999999</v>
      </c>
      <c r="D15" s="75">
        <f>-$C15/12*$B$119/SUM($B$110:$B$112)</f>
        <v>-3.2007553478958397</v>
      </c>
      <c r="E15" s="74">
        <f t="shared" si="0"/>
        <v>2.0019815552465943E-3</v>
      </c>
      <c r="F15" s="73" t="s">
        <v>15</v>
      </c>
      <c r="G15" s="156">
        <f t="shared" si="1"/>
        <v>879.17801259119415</v>
      </c>
      <c r="H15" s="7"/>
      <c r="J15" s="39">
        <f>G13/G3*100</f>
        <v>55.356421474628981</v>
      </c>
    </row>
    <row r="16" spans="1:256" ht="14.4" customHeight="1">
      <c r="A16" s="155" t="s">
        <v>18</v>
      </c>
      <c r="B16" s="82" t="s">
        <v>17</v>
      </c>
      <c r="C16" s="75">
        <f>$B$120</f>
        <v>31.776250000000001</v>
      </c>
      <c r="D16" s="75">
        <f>-C16*0.4/12/SUM($B$110:$B$112)</f>
        <v>-0.2648317444887161</v>
      </c>
      <c r="E16" s="74">
        <f t="shared" si="0"/>
        <v>1.6564473384656894E-4</v>
      </c>
      <c r="F16" s="73" t="s">
        <v>15</v>
      </c>
      <c r="G16" s="156">
        <f t="shared" si="1"/>
        <v>878.91318084670547</v>
      </c>
      <c r="H16" s="10" t="s">
        <v>19</v>
      </c>
      <c r="J16" s="39"/>
    </row>
    <row r="17" spans="1:22" ht="14.7" customHeight="1">
      <c r="A17" s="155" t="s">
        <v>20</v>
      </c>
      <c r="B17" s="82" t="s">
        <v>17</v>
      </c>
      <c r="C17" s="75">
        <f>$B$136</f>
        <v>4.6399999999999997</v>
      </c>
      <c r="D17" s="75">
        <f>-(C17*$B$110+C17/2*($B$112+$B$111))/(SUM($B$110:$B$112))*(($B$113+$B$114)/($B$110+$B$111+$B$112))</f>
        <v>-1.9453464725268537</v>
      </c>
      <c r="E17" s="74">
        <f t="shared" si="0"/>
        <v>1.2167589625752067E-3</v>
      </c>
      <c r="F17" s="73" t="s">
        <v>12</v>
      </c>
      <c r="G17" s="156">
        <f t="shared" si="1"/>
        <v>876.96783437417866</v>
      </c>
      <c r="H17" s="7"/>
      <c r="J17" s="39"/>
    </row>
    <row r="18" spans="1:22" ht="14.7" customHeight="1">
      <c r="A18" s="155" t="str">
        <f>"Daň z príjmov vyberaná zrážkou ("&amp;$B$122/1000&amp;" mld. EUR úspor obyvateľstva v bankách a podielových fondoch)"</f>
        <v>Daň z príjmov vyberaná zrážkou (54,284362 mld. EUR úspor obyvateľstva v bankách a podielových fondoch)</v>
      </c>
      <c r="B18" s="82" t="s">
        <v>17</v>
      </c>
      <c r="C18" s="74">
        <f>$B$121/$B$122</f>
        <v>4.3305473498979315E-3</v>
      </c>
      <c r="D18" s="75">
        <f>-$B$121/12/SUM($B$110:$B$112)</f>
        <v>-4.898069417108049</v>
      </c>
      <c r="E18" s="74">
        <f t="shared" si="0"/>
        <v>3.0636032947079393E-3</v>
      </c>
      <c r="F18" s="73" t="s">
        <v>12</v>
      </c>
      <c r="G18" s="156">
        <f t="shared" si="1"/>
        <v>872.06976495707056</v>
      </c>
      <c r="H18" s="7"/>
      <c r="J18" s="39"/>
    </row>
    <row r="19" spans="1:22" ht="14.7" customHeight="1">
      <c r="A19" s="155" t="str">
        <f>"Povinné zmluvné poistenie zodp. za škodu spôsobenú prevádz. mot. vozidla (priemer  ("&amp;$B$123&amp;")/rok)  (92%)"</f>
        <v>Povinné zmluvné poistenie zodp. za škodu spôsobenú prevádz. mot. vozidla (priemer  (116,533602233451)/rok)  (92%)</v>
      </c>
      <c r="B19" s="82" t="s">
        <v>17</v>
      </c>
      <c r="C19" s="75">
        <f>$B$123*92%</f>
        <v>107.21091405477472</v>
      </c>
      <c r="D19" s="75">
        <f>-C19/12*($B$124*$B$128/SUM($B$110:$B$112))</f>
        <v>-5.4508024972828579</v>
      </c>
      <c r="E19" s="74">
        <f t="shared" si="0"/>
        <v>3.4093221364219902E-3</v>
      </c>
      <c r="F19" s="73" t="s">
        <v>10</v>
      </c>
      <c r="G19" s="156">
        <f t="shared" si="1"/>
        <v>866.61896245978767</v>
      </c>
      <c r="H19" s="7"/>
      <c r="J19" s="39"/>
    </row>
    <row r="20" spans="1:22" ht="14.7" customHeight="1">
      <c r="A20" s="155" t="s">
        <v>327</v>
      </c>
      <c r="B20" s="82" t="s">
        <v>17</v>
      </c>
      <c r="C20" s="75">
        <v>0</v>
      </c>
      <c r="D20" s="75">
        <f>-C20/12*($B$124*$B$128/SUM($B$110:$B$112))</f>
        <v>0</v>
      </c>
      <c r="E20" s="74">
        <f t="shared" si="0"/>
        <v>0</v>
      </c>
      <c r="F20" s="73" t="s">
        <v>12</v>
      </c>
      <c r="G20" s="156">
        <f t="shared" si="1"/>
        <v>866.61896245978767</v>
      </c>
      <c r="H20" s="7"/>
    </row>
    <row r="21" spans="1:22" ht="14.7" customHeight="1">
      <c r="A21" s="159" t="s">
        <v>21</v>
      </c>
      <c r="B21" s="110" t="s">
        <v>17</v>
      </c>
      <c r="C21" s="111">
        <f>-D21</f>
        <v>1.1823824268318053</v>
      </c>
      <c r="D21" s="111">
        <f>-($B$175)/12/SUM($B$110:$B$112)</f>
        <v>-1.1823824268318053</v>
      </c>
      <c r="E21" s="112">
        <f t="shared" si="0"/>
        <v>7.3954662336848226E-4</v>
      </c>
      <c r="F21" s="113" t="s">
        <v>12</v>
      </c>
      <c r="G21" s="160">
        <f>G20+D21</f>
        <v>865.43658003295582</v>
      </c>
      <c r="H21" s="7"/>
      <c r="I21" s="135">
        <f>G13-G21</f>
        <v>19.598357531543115</v>
      </c>
      <c r="J21" s="136">
        <f>(I21/G3)*100</f>
        <v>1.2258215960514052</v>
      </c>
      <c r="K21" s="136" t="s">
        <v>265</v>
      </c>
    </row>
    <row r="22" spans="1:22" ht="14.7" customHeight="1">
      <c r="A22" s="155" t="str">
        <f>"Registračná daň na automobil ("&amp;$B$125*1000&amp;" tis. nových + "&amp;$B$126*1000&amp;" tis. dovezených os. automobilov ročne)"</f>
        <v>Registračná daň na automobil (76,3 tis. nových + 57,178 tis. dovezených os. automobilov ročne)</v>
      </c>
      <c r="B22" s="73" t="s">
        <v>22</v>
      </c>
      <c r="C22" s="64">
        <f>$B$129</f>
        <v>33</v>
      </c>
      <c r="D22" s="75">
        <f>-C22/12*(($B$125+$B$126)/SUM($B$110:$B$112))</f>
        <v>-9.1776403957243222E-2</v>
      </c>
      <c r="E22" s="74">
        <f t="shared" si="0"/>
        <v>5.7403533840862818E-5</v>
      </c>
      <c r="F22" s="73" t="s">
        <v>12</v>
      </c>
      <c r="G22" s="156">
        <f t="shared" si="1"/>
        <v>865.34480362899853</v>
      </c>
      <c r="H22" s="11"/>
      <c r="J22" s="39"/>
    </row>
    <row r="23" spans="1:22" ht="14.7" customHeight="1">
      <c r="A23" s="161" t="str">
        <f>"Registrácia zmeny majiteľa mot. vozidla ("&amp;$B$127*1000&amp;" tis. os. automobilov ročne)"</f>
        <v>Registrácia zmeny majiteľa mot. vozidla (323,798 tis. os. automobilov ročne)</v>
      </c>
      <c r="B23" s="73" t="s">
        <v>22</v>
      </c>
      <c r="C23" s="64">
        <f>$B$130</f>
        <v>12</v>
      </c>
      <c r="D23" s="75">
        <f>-C23/12*(($B$127)/SUM($B$110:$B$112))</f>
        <v>-8.0958567359544265E-2</v>
      </c>
      <c r="E23" s="74">
        <f t="shared" si="0"/>
        <v>5.063728432088555E-5</v>
      </c>
      <c r="F23" s="73" t="s">
        <v>12</v>
      </c>
      <c r="G23" s="156">
        <f t="shared" si="1"/>
        <v>865.26384506163902</v>
      </c>
      <c r="H23" s="7"/>
      <c r="J23" s="39"/>
    </row>
    <row r="24" spans="1:22" ht="14.7" customHeight="1">
      <c r="A24" s="155" t="s">
        <v>23</v>
      </c>
      <c r="B24" s="73" t="s">
        <v>22</v>
      </c>
      <c r="C24" s="75">
        <f>-D24</f>
        <v>6.6298066633462955</v>
      </c>
      <c r="D24" s="75">
        <f>-($B$133-($B$129*($B$125+$B$126))-$B$127)/(SUM($B$110:$B$112))/12+ABS(D22)+ABS(D23)</f>
        <v>-6.6298066633462955</v>
      </c>
      <c r="E24" s="74">
        <f t="shared" si="0"/>
        <v>4.1467557536366186E-3</v>
      </c>
      <c r="F24" s="73" t="s">
        <v>12</v>
      </c>
      <c r="G24" s="156">
        <f t="shared" si="1"/>
        <v>858.63403839829277</v>
      </c>
      <c r="H24" s="7"/>
      <c r="J24" s="39"/>
    </row>
    <row r="25" spans="1:22" ht="14.7" customHeight="1">
      <c r="A25" s="155" t="s">
        <v>26</v>
      </c>
      <c r="B25" s="73" t="s">
        <v>22</v>
      </c>
      <c r="C25" s="75">
        <f>-D25</f>
        <v>4.4294544322297433</v>
      </c>
      <c r="D25" s="75">
        <f>-$B$134/SUM($B$110:$B$112)/12</f>
        <v>-4.4294544322297433</v>
      </c>
      <c r="E25" s="74">
        <f t="shared" si="0"/>
        <v>2.7704979322955106E-3</v>
      </c>
      <c r="F25" s="73" t="s">
        <v>12</v>
      </c>
      <c r="G25" s="156">
        <f t="shared" si="1"/>
        <v>854.20458396606307</v>
      </c>
      <c r="H25" s="7"/>
      <c r="N25" s="130"/>
      <c r="O25" s="130"/>
      <c r="P25" s="130"/>
      <c r="Q25" s="130"/>
    </row>
    <row r="26" spans="1:22" ht="14.7" customHeight="1">
      <c r="A26" s="155" t="s">
        <v>27</v>
      </c>
      <c r="B26" s="73" t="s">
        <v>22</v>
      </c>
      <c r="C26" s="75">
        <f>-D26</f>
        <v>0.2554327334661482</v>
      </c>
      <c r="D26" s="75">
        <f>-$B$135/12/SUM($B$110:$B$112)</f>
        <v>-0.2554327334661482</v>
      </c>
      <c r="E26" s="74">
        <f t="shared" si="0"/>
        <v>1.5976591942324527E-4</v>
      </c>
      <c r="F26" s="73" t="s">
        <v>12</v>
      </c>
      <c r="G26" s="156">
        <f t="shared" si="1"/>
        <v>853.94915123259693</v>
      </c>
      <c r="H26" s="4"/>
      <c r="L26" s="39"/>
      <c r="N26" s="130"/>
      <c r="O26" s="130"/>
      <c r="P26" s="130"/>
      <c r="Q26" s="130"/>
    </row>
    <row r="27" spans="1:22" ht="14.7" customHeight="1">
      <c r="A27" s="155" t="s">
        <v>28</v>
      </c>
      <c r="B27" s="73" t="s">
        <v>22</v>
      </c>
      <c r="C27" s="74">
        <f>-D27/G26</f>
        <v>0.16016700140575554</v>
      </c>
      <c r="D27" s="75">
        <f>-(G26-G26/(1+B176))</f>
        <v>-136.7744749059151</v>
      </c>
      <c r="E27" s="74">
        <f t="shared" si="0"/>
        <v>8.554854908551135E-2</v>
      </c>
      <c r="F27" s="73" t="s">
        <v>12</v>
      </c>
      <c r="G27" s="156">
        <f t="shared" si="1"/>
        <v>717.17467632668183</v>
      </c>
      <c r="H27" s="7"/>
      <c r="J27" s="39"/>
      <c r="N27" s="130"/>
      <c r="O27" s="130"/>
      <c r="P27" s="130"/>
      <c r="Q27" s="130"/>
    </row>
    <row r="28" spans="1:22" ht="14.7" customHeight="1">
      <c r="A28" s="155" t="s">
        <v>221</v>
      </c>
      <c r="B28" s="73" t="s">
        <v>22</v>
      </c>
      <c r="C28" s="83">
        <f>0.07907*1080*0.042*$B$177/12/100</f>
        <v>0.21788687340000007</v>
      </c>
      <c r="D28" s="75">
        <f>-C28*$B$177*$B$119/SUM($B$110:$B$112)/12</f>
        <v>-1.8070470556142555</v>
      </c>
      <c r="E28" s="74">
        <f t="shared" si="0"/>
        <v>1.1302566055792572E-3</v>
      </c>
      <c r="F28" s="73" t="s">
        <v>12</v>
      </c>
      <c r="G28" s="156">
        <f t="shared" si="1"/>
        <v>715.36762927106759</v>
      </c>
      <c r="H28" s="10" t="s">
        <v>29</v>
      </c>
      <c r="J28" s="39"/>
      <c r="N28" s="130"/>
      <c r="O28" s="137"/>
      <c r="P28" s="130"/>
      <c r="Q28" s="130"/>
    </row>
    <row r="29" spans="1:22" ht="14.7" customHeight="1">
      <c r="A29" s="155" t="s">
        <v>245</v>
      </c>
      <c r="B29" s="73" t="s">
        <v>22</v>
      </c>
      <c r="C29" s="83">
        <f>40%*1080/100</f>
        <v>4.32</v>
      </c>
      <c r="D29" s="75">
        <f>-C29*$B$178*$B$119/SUM($B$110:$B$112)/12</f>
        <v>-4.3740588305890276</v>
      </c>
      <c r="E29" s="74">
        <f t="shared" si="0"/>
        <v>2.7358495569364235E-3</v>
      </c>
      <c r="F29" s="73" t="s">
        <v>12</v>
      </c>
      <c r="G29" s="156">
        <f t="shared" si="1"/>
        <v>710.99357044047861</v>
      </c>
      <c r="H29" s="10" t="s">
        <v>29</v>
      </c>
      <c r="J29" s="39"/>
      <c r="N29" s="130"/>
      <c r="O29" s="130"/>
      <c r="P29" s="130"/>
      <c r="Q29" s="130"/>
    </row>
    <row r="30" spans="1:22" ht="14.7" customHeight="1">
      <c r="A30" s="155" t="s">
        <v>244</v>
      </c>
      <c r="B30" s="73" t="s">
        <v>22</v>
      </c>
      <c r="C30" s="63">
        <f>100.1/1000</f>
        <v>0.10009999999999999</v>
      </c>
      <c r="D30" s="75">
        <f>-C30*$B$179*$B$119/SUM($B$110:$B$112)/12</f>
        <v>-14.678806526330945</v>
      </c>
      <c r="E30" s="74">
        <f t="shared" si="0"/>
        <v>9.18117654261409E-3</v>
      </c>
      <c r="F30" s="73" t="s">
        <v>12</v>
      </c>
      <c r="G30" s="156">
        <f t="shared" si="1"/>
        <v>696.31476391414765</v>
      </c>
      <c r="H30" s="10" t="s">
        <v>30</v>
      </c>
      <c r="J30" s="39"/>
      <c r="N30" s="130"/>
      <c r="O30" s="138"/>
      <c r="P30" s="130"/>
      <c r="Q30" s="130"/>
      <c r="V30" s="46" t="s">
        <v>246</v>
      </c>
    </row>
    <row r="31" spans="1:22" ht="14.7" customHeight="1">
      <c r="A31" s="155" t="s">
        <v>258</v>
      </c>
      <c r="B31" s="73" t="s">
        <v>22</v>
      </c>
      <c r="C31" s="64">
        <v>0</v>
      </c>
      <c r="D31" s="75">
        <f>-C31*$B$137*($B$113+$B$114)/SUM($B$110:$B$112)</f>
        <v>0</v>
      </c>
      <c r="E31" s="74">
        <f t="shared" si="0"/>
        <v>0</v>
      </c>
      <c r="F31" s="73" t="s">
        <v>12</v>
      </c>
      <c r="G31" s="156">
        <f t="shared" si="1"/>
        <v>696.31476391414765</v>
      </c>
      <c r="H31" s="10" t="s">
        <v>31</v>
      </c>
      <c r="J31" s="39"/>
      <c r="N31" s="130"/>
      <c r="O31" s="130"/>
      <c r="P31" s="130"/>
      <c r="Q31" s="130"/>
    </row>
    <row r="32" spans="1:22" ht="14.7" customHeight="1">
      <c r="A32" s="155" t="s">
        <v>259</v>
      </c>
      <c r="B32" s="73" t="s">
        <v>22</v>
      </c>
      <c r="C32" s="64">
        <f>($B$139+$B$138/$B$137)*51%</f>
        <v>34.425207285233888</v>
      </c>
      <c r="D32" s="75">
        <f>-C32*$B$137*($B$113+$B$114)/SUM($B$110:$B$112)</f>
        <v>-8.1238464813815892</v>
      </c>
      <c r="E32" s="74">
        <f t="shared" si="0"/>
        <v>5.0812352228272054E-3</v>
      </c>
      <c r="F32" s="73" t="s">
        <v>12</v>
      </c>
      <c r="G32" s="156">
        <f t="shared" si="1"/>
        <v>688.19091743276601</v>
      </c>
      <c r="H32" s="7"/>
      <c r="J32" s="39"/>
      <c r="N32" s="130"/>
      <c r="O32" s="130"/>
      <c r="P32" s="130"/>
      <c r="Q32" s="130"/>
    </row>
    <row r="33" spans="1:22" ht="14.7" customHeight="1">
      <c r="A33" s="155" t="s">
        <v>260</v>
      </c>
      <c r="B33" s="73" t="s">
        <v>22</v>
      </c>
      <c r="C33" s="64">
        <f>($B$139+$B$138/$B$137)*49%</f>
        <v>33.07519915640119</v>
      </c>
      <c r="D33" s="75">
        <f>-C33*$B$137*($B$113+$B$114)/SUM($B$110:$B$112)</f>
        <v>-7.8052642664254481</v>
      </c>
      <c r="E33" s="74">
        <f t="shared" si="0"/>
        <v>4.8819710964418247E-3</v>
      </c>
      <c r="F33" s="73" t="s">
        <v>10</v>
      </c>
      <c r="G33" s="156">
        <f t="shared" si="1"/>
        <v>680.3856531663406</v>
      </c>
      <c r="H33" s="7"/>
      <c r="J33" s="39"/>
      <c r="N33" s="130"/>
      <c r="O33" s="130"/>
      <c r="P33" s="130"/>
      <c r="Q33" s="130"/>
    </row>
    <row r="34" spans="1:22" ht="14.7" customHeight="1">
      <c r="A34" s="155" t="s">
        <v>261</v>
      </c>
      <c r="B34" s="73" t="s">
        <v>22</v>
      </c>
      <c r="C34" s="64">
        <v>0</v>
      </c>
      <c r="D34" s="75">
        <f>-C34*$C$163*($B$113+$B$114)/SUM($B$110:$B$112)</f>
        <v>0</v>
      </c>
      <c r="E34" s="74">
        <f t="shared" si="0"/>
        <v>0</v>
      </c>
      <c r="F34" s="73" t="s">
        <v>12</v>
      </c>
      <c r="G34" s="156">
        <f t="shared" si="1"/>
        <v>680.3856531663406</v>
      </c>
      <c r="H34" s="7"/>
      <c r="J34" s="39"/>
      <c r="N34" s="130"/>
      <c r="O34" s="130"/>
      <c r="P34" s="130"/>
      <c r="Q34" s="130"/>
    </row>
    <row r="35" spans="1:22" ht="14.7" customHeight="1">
      <c r="A35" s="155" t="s">
        <v>262</v>
      </c>
      <c r="B35" s="73" t="s">
        <v>22</v>
      </c>
      <c r="C35" s="64">
        <f>($B$140+$B$141)*51%</f>
        <v>25.584070716720273</v>
      </c>
      <c r="D35" s="75">
        <f>-C35*$C$163/12*($B$113+$B$114)/SUM($B$110:$B$112)</f>
        <v>-8.9478559118846199</v>
      </c>
      <c r="E35" s="74">
        <f t="shared" ref="E35:E60" si="4">-D35/$G$3</f>
        <v>5.5966297162866286E-3</v>
      </c>
      <c r="F35" s="73" t="s">
        <v>12</v>
      </c>
      <c r="G35" s="156">
        <f t="shared" ref="G35:G59" si="5">G34+D35</f>
        <v>671.43779725445597</v>
      </c>
      <c r="H35" s="7"/>
      <c r="J35" s="39"/>
      <c r="N35" s="130"/>
      <c r="O35" s="138"/>
      <c r="P35" s="130"/>
      <c r="Q35" s="130"/>
    </row>
    <row r="36" spans="1:22" ht="14.7" customHeight="1">
      <c r="A36" s="155" t="s">
        <v>263</v>
      </c>
      <c r="B36" s="73" t="s">
        <v>22</v>
      </c>
      <c r="C36" s="64">
        <f>($B$140+$B$141)*49%</f>
        <v>24.580773825868494</v>
      </c>
      <c r="D36" s="75">
        <f>-C36*$C$163/12*($B$113+$B$114)/SUM($B$110:$B$112)</f>
        <v>-8.5969596016146337</v>
      </c>
      <c r="E36" s="74">
        <f t="shared" si="4"/>
        <v>5.3771540411381331E-3</v>
      </c>
      <c r="F36" s="73" t="s">
        <v>10</v>
      </c>
      <c r="G36" s="156">
        <f t="shared" si="5"/>
        <v>662.84083765284129</v>
      </c>
      <c r="H36" s="7"/>
      <c r="J36" s="39"/>
      <c r="N36" s="130"/>
      <c r="O36" s="138"/>
      <c r="P36" s="130"/>
      <c r="Q36" s="130"/>
    </row>
    <row r="37" spans="1:22" ht="14.7" customHeight="1">
      <c r="A37" s="161" t="s">
        <v>32</v>
      </c>
      <c r="B37" s="73" t="s">
        <v>22</v>
      </c>
      <c r="C37" s="84">
        <v>0.54700000000000004</v>
      </c>
      <c r="D37" s="75">
        <f>-C37*$B$142/12*($B$124*$B$128/SUM($B$110:$B$112))</f>
        <v>-27.115236051230298</v>
      </c>
      <c r="E37" s="74">
        <f t="shared" si="4"/>
        <v>1.6959809963734564E-2</v>
      </c>
      <c r="F37" s="73" t="s">
        <v>12</v>
      </c>
      <c r="G37" s="156">
        <f t="shared" si="5"/>
        <v>635.72560160161095</v>
      </c>
      <c r="H37" s="7"/>
      <c r="J37" s="39"/>
      <c r="N37" s="130"/>
      <c r="O37" s="130"/>
      <c r="P37" s="130"/>
      <c r="Q37" s="130"/>
      <c r="V37" s="46" t="s">
        <v>247</v>
      </c>
    </row>
    <row r="38" spans="1:22" ht="14.7" customHeight="1">
      <c r="A38" s="161" t="s">
        <v>33</v>
      </c>
      <c r="B38" s="73" t="s">
        <v>22</v>
      </c>
      <c r="C38" s="63">
        <f>0.003705</f>
        <v>3.705E-3</v>
      </c>
      <c r="D38" s="75">
        <f>-C38*$B$142/12*($B$124*$B$128/SUM($B$110:$B$112))</f>
        <v>-0.1836598712427939</v>
      </c>
      <c r="E38" s="74">
        <f t="shared" si="4"/>
        <v>1.1487403275253485E-4</v>
      </c>
      <c r="F38" s="73" t="s">
        <v>12</v>
      </c>
      <c r="G38" s="156">
        <f t="shared" si="5"/>
        <v>635.54194173036819</v>
      </c>
      <c r="H38" s="10" t="s">
        <v>34</v>
      </c>
      <c r="J38" s="39"/>
      <c r="N38" s="130"/>
      <c r="O38" s="138"/>
      <c r="P38" s="130"/>
      <c r="Q38" s="130"/>
    </row>
    <row r="39" spans="1:22" ht="14.7" customHeight="1">
      <c r="A39" s="155" t="s">
        <v>35</v>
      </c>
      <c r="B39" s="73" t="s">
        <v>22</v>
      </c>
      <c r="C39" s="75">
        <f>1.2962+0.906+1.0702</f>
        <v>3.2724000000000002</v>
      </c>
      <c r="D39" s="75">
        <f>-C39*$B$143/12*(($B$113+$B$114)/SUM($B$110:$B$112))</f>
        <v>-14.987497313172538</v>
      </c>
      <c r="E39" s="74">
        <f t="shared" si="4"/>
        <v>9.3742538616718215E-3</v>
      </c>
      <c r="F39" s="73" t="s">
        <v>15</v>
      </c>
      <c r="G39" s="156">
        <f t="shared" si="5"/>
        <v>620.55444441719567</v>
      </c>
      <c r="H39" s="10" t="s">
        <v>36</v>
      </c>
      <c r="J39" s="39"/>
      <c r="L39" s="40"/>
      <c r="N39" s="130"/>
      <c r="O39" s="130"/>
      <c r="P39" s="130"/>
      <c r="Q39" s="130"/>
    </row>
    <row r="40" spans="1:22" ht="21.75" customHeight="1">
      <c r="A40" s="162" t="s">
        <v>248</v>
      </c>
      <c r="B40" s="73" t="s">
        <v>22</v>
      </c>
      <c r="C40" s="64">
        <v>30</v>
      </c>
      <c r="D40" s="75">
        <f>-C40/12*(($B$125+$B$126)/SUM($B$110:$B$112))</f>
        <v>-8.3433094506584746E-2</v>
      </c>
      <c r="E40" s="74">
        <f t="shared" si="4"/>
        <v>5.2185030764420738E-5</v>
      </c>
      <c r="F40" s="73" t="s">
        <v>12</v>
      </c>
      <c r="G40" s="156">
        <f t="shared" si="5"/>
        <v>620.47101132268904</v>
      </c>
      <c r="H40" s="10" t="s">
        <v>37</v>
      </c>
      <c r="J40" s="39"/>
      <c r="L40" s="40"/>
      <c r="N40" s="130"/>
      <c r="O40" s="137"/>
      <c r="P40" s="130"/>
      <c r="Q40" s="130"/>
    </row>
    <row r="41" spans="1:22" ht="14.7" customHeight="1">
      <c r="A41" s="155" t="s">
        <v>38</v>
      </c>
      <c r="B41" s="73" t="s">
        <v>22</v>
      </c>
      <c r="C41" s="75">
        <f>$B$131/1.2</f>
        <v>61.666666666666671</v>
      </c>
      <c r="D41" s="75">
        <f>-C41/24*($B$124*$B$128)/SUM($B$110:$B$112)</f>
        <v>-1.567624078337976</v>
      </c>
      <c r="E41" s="74">
        <f t="shared" si="4"/>
        <v>9.8050433390862199E-4</v>
      </c>
      <c r="F41" s="73" t="s">
        <v>10</v>
      </c>
      <c r="G41" s="156">
        <f t="shared" si="5"/>
        <v>618.90338724435105</v>
      </c>
      <c r="H41" s="10" t="s">
        <v>39</v>
      </c>
      <c r="J41" s="39"/>
      <c r="L41" s="40"/>
      <c r="N41" s="130"/>
      <c r="O41" s="130"/>
      <c r="P41" s="130"/>
      <c r="Q41" s="130"/>
    </row>
    <row r="42" spans="1:22" ht="14.7" customHeight="1">
      <c r="A42" s="155" t="str">
        <f>"Kontrola originality ("&amp;$B$126*1000&amp;" tis. dovezených os. automobilov ročne)"</f>
        <v>Kontrola originality (57,178 tis. dovezených os. automobilov ročne)</v>
      </c>
      <c r="B42" s="73" t="s">
        <v>22</v>
      </c>
      <c r="C42" s="75">
        <f>$B$132/1.2</f>
        <v>64.166666666666671</v>
      </c>
      <c r="D42" s="75">
        <f>-C42/12*$B$126/SUM($B$110:$B$112)</f>
        <v>-7.6444429831696706E-2</v>
      </c>
      <c r="E42" s="74">
        <f t="shared" si="4"/>
        <v>4.7813819517635812E-5</v>
      </c>
      <c r="F42" s="73" t="s">
        <v>10</v>
      </c>
      <c r="G42" s="156">
        <f t="shared" si="5"/>
        <v>618.82694281451938</v>
      </c>
      <c r="H42" s="7"/>
      <c r="J42" s="39"/>
      <c r="L42" s="40"/>
      <c r="N42" s="130"/>
      <c r="O42" s="130"/>
      <c r="P42" s="130"/>
      <c r="Q42" s="130"/>
    </row>
    <row r="43" spans="1:22" ht="14.7" customHeight="1">
      <c r="A43" s="155" t="s">
        <v>40</v>
      </c>
      <c r="B43" s="73" t="s">
        <v>22</v>
      </c>
      <c r="C43" s="75">
        <f>$B$145</f>
        <v>50</v>
      </c>
      <c r="D43" s="75">
        <f>-$B$144/12/SUM($B$110:$B$112)</f>
        <v>-1.6538102267453954</v>
      </c>
      <c r="E43" s="74">
        <f t="shared" si="4"/>
        <v>1.0344113216897493E-3</v>
      </c>
      <c r="F43" s="73" t="s">
        <v>12</v>
      </c>
      <c r="G43" s="156">
        <f t="shared" si="5"/>
        <v>617.17313258777403</v>
      </c>
      <c r="H43" s="7"/>
      <c r="J43" s="39"/>
      <c r="L43" s="40"/>
      <c r="N43" s="130"/>
      <c r="O43" s="130"/>
      <c r="P43" s="130"/>
      <c r="Q43" s="130"/>
    </row>
    <row r="44" spans="1:22" ht="14.7" customHeight="1">
      <c r="A44" s="155" t="s">
        <v>41</v>
      </c>
      <c r="B44" s="73" t="s">
        <v>22</v>
      </c>
      <c r="C44" s="75">
        <f>-D44</f>
        <v>0.20835666928029273</v>
      </c>
      <c r="D44" s="75">
        <f t="shared" ref="D44:D45" si="6">-20/12/SUM($B$110:$B$112)*50%</f>
        <v>-0.20835666928029273</v>
      </c>
      <c r="E44" s="74">
        <f t="shared" si="4"/>
        <v>1.3032117843245263E-4</v>
      </c>
      <c r="F44" s="73" t="s">
        <v>15</v>
      </c>
      <c r="G44" s="156">
        <f t="shared" si="5"/>
        <v>616.96477591849373</v>
      </c>
      <c r="H44" s="10" t="s">
        <v>42</v>
      </c>
      <c r="J44" s="39"/>
      <c r="L44" s="40"/>
      <c r="N44" s="130"/>
      <c r="O44" s="130"/>
      <c r="P44" s="130"/>
      <c r="Q44" s="130"/>
    </row>
    <row r="45" spans="1:22" ht="14.7" customHeight="1">
      <c r="A45" s="155" t="s">
        <v>41</v>
      </c>
      <c r="B45" s="73" t="s">
        <v>22</v>
      </c>
      <c r="C45" s="75">
        <f>-D45</f>
        <v>0.20835666928029273</v>
      </c>
      <c r="D45" s="75">
        <f t="shared" si="6"/>
        <v>-0.20835666928029273</v>
      </c>
      <c r="E45" s="74">
        <f t="shared" si="4"/>
        <v>1.3032117843245263E-4</v>
      </c>
      <c r="F45" s="73" t="s">
        <v>10</v>
      </c>
      <c r="G45" s="156">
        <f t="shared" si="5"/>
        <v>616.75641924921342</v>
      </c>
      <c r="H45" s="10" t="s">
        <v>43</v>
      </c>
      <c r="J45" s="39"/>
      <c r="L45" s="40"/>
      <c r="N45" s="130"/>
      <c r="O45" s="130"/>
      <c r="P45" s="130"/>
      <c r="Q45" s="130"/>
    </row>
    <row r="46" spans="1:22" ht="14.7" customHeight="1">
      <c r="A46" s="155" t="s">
        <v>44</v>
      </c>
      <c r="B46" s="73" t="s">
        <v>22</v>
      </c>
      <c r="C46" s="75">
        <f>-D46</f>
        <v>0.58366141174478214</v>
      </c>
      <c r="D46" s="75">
        <f>-(($B$164+$B$165+$B$166)*2)/12/SUM($B$110:$B$112)</f>
        <v>-0.58366141174478214</v>
      </c>
      <c r="E46" s="74">
        <f t="shared" si="4"/>
        <v>3.6506363461687072E-4</v>
      </c>
      <c r="F46" s="73" t="s">
        <v>15</v>
      </c>
      <c r="G46" s="156">
        <f t="shared" si="5"/>
        <v>616.17275783746868</v>
      </c>
      <c r="H46" s="7"/>
      <c r="J46" s="39"/>
      <c r="N46" s="130"/>
      <c r="O46" s="130"/>
      <c r="P46" s="130"/>
      <c r="Q46" s="130"/>
    </row>
    <row r="47" spans="1:22" ht="14.7" customHeight="1">
      <c r="A47" s="155" t="s">
        <v>45</v>
      </c>
      <c r="B47" s="73" t="s">
        <v>22</v>
      </c>
      <c r="C47" s="75">
        <f>-D47</f>
        <v>1.3647046594218555</v>
      </c>
      <c r="D47" s="75">
        <f>-SUM(B167:B173)/12/SUM($B$110:$B$112)</f>
        <v>-1.3647046594218555</v>
      </c>
      <c r="E47" s="74">
        <f t="shared" si="4"/>
        <v>8.5358400113826798E-4</v>
      </c>
      <c r="F47" s="73" t="s">
        <v>15</v>
      </c>
      <c r="G47" s="156">
        <f t="shared" si="5"/>
        <v>614.80805317804686</v>
      </c>
      <c r="H47" s="10" t="s">
        <v>46</v>
      </c>
      <c r="N47" s="130"/>
      <c r="O47" s="130"/>
      <c r="P47" s="130"/>
      <c r="Q47" s="130"/>
    </row>
    <row r="48" spans="1:22" ht="14.7" customHeight="1">
      <c r="A48" s="157" t="s">
        <v>47</v>
      </c>
      <c r="B48" s="76" t="s">
        <v>22</v>
      </c>
      <c r="C48" s="78">
        <f>-D48</f>
        <v>1.8817107516041796</v>
      </c>
      <c r="D48" s="78">
        <f>-$B$146/12/SUM($B$110:$B$112)</f>
        <v>-1.8817107516041796</v>
      </c>
      <c r="E48" s="77">
        <f t="shared" si="4"/>
        <v>1.176956626659166E-3</v>
      </c>
      <c r="F48" s="76" t="s">
        <v>12</v>
      </c>
      <c r="G48" s="158">
        <f>G47+D48</f>
        <v>612.92634242644272</v>
      </c>
      <c r="H48" s="4"/>
      <c r="I48" s="135">
        <f>G21-G48</f>
        <v>252.5102376065131</v>
      </c>
      <c r="J48" s="136">
        <f>(I48/G3)*100</f>
        <v>15.793798127417046</v>
      </c>
      <c r="K48" s="136" t="s">
        <v>266</v>
      </c>
      <c r="N48" s="130"/>
      <c r="O48" s="130"/>
      <c r="P48" s="130"/>
      <c r="Q48" s="130"/>
    </row>
    <row r="49" spans="1:17" ht="14.7" customHeight="1">
      <c r="A49" s="163" t="s">
        <v>48</v>
      </c>
      <c r="B49" s="80" t="s">
        <v>49</v>
      </c>
      <c r="C49" s="71">
        <f>-D49/G48</f>
        <v>9.1969056143252311E-4</v>
      </c>
      <c r="D49" s="72">
        <f>-(G48-G48/(($B$149/($B$147-$B$148))+1))</f>
        <v>-0.56370257198295803</v>
      </c>
      <c r="E49" s="71">
        <f t="shared" si="4"/>
        <v>3.525799472605216E-4</v>
      </c>
      <c r="F49" s="70" t="s">
        <v>12</v>
      </c>
      <c r="G49" s="154">
        <f t="shared" si="5"/>
        <v>612.36263985445976</v>
      </c>
      <c r="H49" s="12" t="s">
        <v>50</v>
      </c>
      <c r="J49" s="39"/>
      <c r="N49" s="130"/>
      <c r="O49" s="130"/>
      <c r="P49" s="130"/>
      <c r="Q49" s="130"/>
    </row>
    <row r="50" spans="1:17" ht="14.7" customHeight="1">
      <c r="A50" s="161" t="s">
        <v>51</v>
      </c>
      <c r="B50" s="82" t="s">
        <v>49</v>
      </c>
      <c r="C50" s="74">
        <f>-D50/G48</f>
        <v>3.84811381363102E-4</v>
      </c>
      <c r="D50" s="75">
        <f>-(G48-G48/((($B$150-$B$151)*$B$152/($B$147-$B$148))+1))</f>
        <v>-0.23586103250295309</v>
      </c>
      <c r="E50" s="74">
        <f t="shared" si="4"/>
        <v>1.4752437638907467E-4</v>
      </c>
      <c r="F50" s="73" t="s">
        <v>12</v>
      </c>
      <c r="G50" s="156">
        <f t="shared" si="5"/>
        <v>612.1267788219568</v>
      </c>
      <c r="H50" s="7"/>
      <c r="J50" s="39"/>
      <c r="N50" s="130"/>
      <c r="O50" s="130"/>
      <c r="P50" s="130"/>
      <c r="Q50" s="130"/>
    </row>
    <row r="51" spans="1:17" ht="14.7" customHeight="1">
      <c r="A51" s="161" t="s">
        <v>52</v>
      </c>
      <c r="B51" s="82" t="s">
        <v>49</v>
      </c>
      <c r="C51" s="74">
        <f>-D51/G48</f>
        <v>3.8651613025323235E-4</v>
      </c>
      <c r="D51" s="75">
        <f>-(G48-G48/(($B$151*$B$152/($B$147-$B$148))+1))</f>
        <v>-0.23690591800493621</v>
      </c>
      <c r="E51" s="74">
        <f t="shared" si="4"/>
        <v>1.4817792259143905E-4</v>
      </c>
      <c r="F51" s="73" t="s">
        <v>10</v>
      </c>
      <c r="G51" s="156">
        <f t="shared" si="5"/>
        <v>611.88987290395187</v>
      </c>
      <c r="H51" s="7"/>
      <c r="J51" s="39"/>
    </row>
    <row r="52" spans="1:17" ht="14.7" customHeight="1">
      <c r="A52" s="161" t="s">
        <v>53</v>
      </c>
      <c r="B52" s="82" t="s">
        <v>49</v>
      </c>
      <c r="C52" s="74">
        <f>-D52/G48</f>
        <v>3.89229591166593E-4</v>
      </c>
      <c r="D52" s="75">
        <f>-(G48-G48/(($B$174*4/($B$147-$B$148))+1))*75%</f>
        <v>-0.2385690696778795</v>
      </c>
      <c r="E52" s="74">
        <f t="shared" si="4"/>
        <v>1.4921817672238939E-4</v>
      </c>
      <c r="F52" s="73" t="s">
        <v>54</v>
      </c>
      <c r="G52" s="156">
        <f t="shared" si="5"/>
        <v>611.65130383427402</v>
      </c>
      <c r="H52" s="7"/>
      <c r="J52" s="39"/>
    </row>
    <row r="53" spans="1:17" ht="14.7" customHeight="1">
      <c r="A53" s="161" t="s">
        <v>55</v>
      </c>
      <c r="B53" s="82" t="s">
        <v>49</v>
      </c>
      <c r="C53" s="74">
        <f>-D53/G48</f>
        <v>1.29743197055531E-4</v>
      </c>
      <c r="D53" s="75">
        <f>-(G48-G48/(($B$174*4/($B$147-$B$148))+1))*25%</f>
        <v>-7.9523023225959832E-2</v>
      </c>
      <c r="E53" s="74">
        <f t="shared" si="4"/>
        <v>4.9739392240796456E-5</v>
      </c>
      <c r="F53" s="73" t="s">
        <v>12</v>
      </c>
      <c r="G53" s="156">
        <f t="shared" si="5"/>
        <v>611.57178081104803</v>
      </c>
      <c r="H53" s="7"/>
      <c r="J53" s="39"/>
    </row>
    <row r="54" spans="1:17" ht="14.7" customHeight="1">
      <c r="A54" s="161" t="s">
        <v>56</v>
      </c>
      <c r="B54" s="82" t="s">
        <v>49</v>
      </c>
      <c r="C54" s="74">
        <f>-D54/G48</f>
        <v>4.5074840647055499E-3</v>
      </c>
      <c r="D54" s="75">
        <f>-(G48-G48/(((B182)/($B$147-$B$148))+1))</f>
        <v>-2.7627557213254477</v>
      </c>
      <c r="E54" s="74">
        <f t="shared" si="4"/>
        <v>1.7280252298513188E-3</v>
      </c>
      <c r="F54" s="73" t="s">
        <v>12</v>
      </c>
      <c r="G54" s="156">
        <f t="shared" si="5"/>
        <v>608.80902508972258</v>
      </c>
      <c r="H54" s="7"/>
      <c r="J54" s="39"/>
    </row>
    <row r="55" spans="1:17" ht="14.7" customHeight="1">
      <c r="A55" s="155" t="s">
        <v>57</v>
      </c>
      <c r="B55" s="82" t="s">
        <v>49</v>
      </c>
      <c r="C55" s="74">
        <f>-D55/G48</f>
        <v>1.5425029542169306E-2</v>
      </c>
      <c r="D55" s="75">
        <f>-(G48-G48/((($B$153+$B$154)/($B$147-$B$148))+1))</f>
        <v>-9.4544069391016592</v>
      </c>
      <c r="E55" s="74">
        <f t="shared" si="4"/>
        <v>5.9134629956393908E-3</v>
      </c>
      <c r="F55" s="73" t="s">
        <v>12</v>
      </c>
      <c r="G55" s="164">
        <f t="shared" si="5"/>
        <v>599.35461815062092</v>
      </c>
      <c r="H55" s="7"/>
      <c r="J55" s="39"/>
    </row>
    <row r="56" spans="1:17" ht="14.7" customHeight="1">
      <c r="A56" s="155" t="s">
        <v>58</v>
      </c>
      <c r="B56" s="82" t="s">
        <v>49</v>
      </c>
      <c r="C56" s="74">
        <f>-D56/G48</f>
        <v>2.2919852125830227E-3</v>
      </c>
      <c r="D56" s="75">
        <f>-(G48-G48/((($B$155)/($B$147-$B$148))+1))</f>
        <v>-1.404818113244005</v>
      </c>
      <c r="E56" s="74">
        <f t="shared" si="4"/>
        <v>8.7867382711386856E-4</v>
      </c>
      <c r="F56" s="73" t="s">
        <v>12</v>
      </c>
      <c r="G56" s="164">
        <f t="shared" si="5"/>
        <v>597.94980003737692</v>
      </c>
      <c r="H56" s="4"/>
      <c r="J56" s="39"/>
    </row>
    <row r="57" spans="1:17" ht="14.7" customHeight="1">
      <c r="A57" s="155" t="s">
        <v>59</v>
      </c>
      <c r="B57" s="82" t="s">
        <v>49</v>
      </c>
      <c r="C57" s="74">
        <f>-D57/G48</f>
        <v>1.4158606518743513E-3</v>
      </c>
      <c r="D57" s="75">
        <f>-(G48-G48/((($B$156)/($B$147-$B$148))+1))*96.5%</f>
        <v>-0.86781829073886507</v>
      </c>
      <c r="E57" s="74">
        <f t="shared" si="4"/>
        <v>5.4279569118175907E-4</v>
      </c>
      <c r="F57" s="73" t="s">
        <v>12</v>
      </c>
      <c r="G57" s="164">
        <f t="shared" si="5"/>
        <v>597.08198174663801</v>
      </c>
      <c r="H57" s="10" t="s">
        <v>60</v>
      </c>
      <c r="J57" s="39"/>
    </row>
    <row r="58" spans="1:17" ht="14.7" customHeight="1">
      <c r="A58" s="157" t="s">
        <v>61</v>
      </c>
      <c r="B58" s="65" t="s">
        <v>49</v>
      </c>
      <c r="C58" s="77">
        <f>-D58/G48</f>
        <v>5.1352458876271818E-5</v>
      </c>
      <c r="D58" s="78">
        <f>-(G48-G48/((($B$156)/($B$147-$B$148))+1))*3.5%</f>
        <v>-3.1475274793637598E-2</v>
      </c>
      <c r="E58" s="77">
        <f t="shared" si="4"/>
        <v>1.968689035374256E-5</v>
      </c>
      <c r="F58" s="76" t="s">
        <v>10</v>
      </c>
      <c r="G58" s="158">
        <f t="shared" si="5"/>
        <v>597.05050647184441</v>
      </c>
      <c r="H58" s="4"/>
      <c r="I58" s="39">
        <f>G48-G58</f>
        <v>15.875835954598301</v>
      </c>
      <c r="J58" s="94">
        <f>(I58/G3)*100</f>
        <v>0.99298844493443017</v>
      </c>
      <c r="K58" s="97" t="s">
        <v>269</v>
      </c>
      <c r="L58" s="97"/>
    </row>
    <row r="59" spans="1:17" ht="14.7" customHeight="1">
      <c r="A59" s="153" t="s">
        <v>160</v>
      </c>
      <c r="B59" s="85"/>
      <c r="C59" s="81"/>
      <c r="D59" s="86">
        <f>-G58</f>
        <v>-597.05050647184441</v>
      </c>
      <c r="E59" s="87">
        <f t="shared" si="4"/>
        <v>0.37343813306226092</v>
      </c>
      <c r="F59" s="88"/>
      <c r="G59" s="154">
        <f t="shared" si="5"/>
        <v>0</v>
      </c>
      <c r="H59" s="7"/>
      <c r="I59" s="39">
        <f>G3-(I58+I48+I21+I13)</f>
        <v>597.05050647184441</v>
      </c>
      <c r="J59" s="94">
        <f>(I59/G3)*100</f>
        <v>37.343813306226096</v>
      </c>
      <c r="K59" s="97" t="s">
        <v>270</v>
      </c>
      <c r="L59" s="97"/>
    </row>
    <row r="60" spans="1:17" ht="14.7" customHeight="1">
      <c r="A60" s="157" t="s">
        <v>62</v>
      </c>
      <c r="B60" s="89"/>
      <c r="C60" s="90"/>
      <c r="D60" s="79">
        <f>SUM(D4:D58)</f>
        <v>-1001.7431185281552</v>
      </c>
      <c r="E60" s="91">
        <f t="shared" si="4"/>
        <v>0.62656186693773896</v>
      </c>
      <c r="F60" s="92"/>
      <c r="G60" s="165"/>
      <c r="H60" s="11"/>
      <c r="J60" s="39">
        <f>SUM(J13:J59)</f>
        <v>210.71284294925795</v>
      </c>
    </row>
    <row r="61" spans="1:17" ht="14.25" customHeight="1">
      <c r="A61" s="153" t="s">
        <v>63</v>
      </c>
      <c r="B61" s="85"/>
      <c r="C61" s="93"/>
      <c r="D61" s="72">
        <f>SUM(D59:D60)</f>
        <v>-1598.7936249999996</v>
      </c>
      <c r="E61" s="71">
        <f>SUM(E59:E60)</f>
        <v>0.99999999999999989</v>
      </c>
      <c r="F61" s="92"/>
      <c r="G61" s="165"/>
      <c r="H61" s="11"/>
      <c r="I61" s="39">
        <f>SUM(I13:I60)</f>
        <v>1598.7936249999998</v>
      </c>
      <c r="J61" s="39">
        <f>(I61/G3)*100</f>
        <v>100</v>
      </c>
      <c r="K61" s="39">
        <f>J59+J58+J48+J21+J13</f>
        <v>100</v>
      </c>
    </row>
    <row r="62" spans="1:17" ht="14.25" customHeight="1">
      <c r="A62" s="179" t="s">
        <v>64</v>
      </c>
      <c r="B62" s="180"/>
      <c r="C62" s="180"/>
      <c r="D62" s="180"/>
      <c r="E62" s="180"/>
      <c r="F62" s="92"/>
      <c r="G62" s="165"/>
      <c r="H62" s="11"/>
    </row>
    <row r="63" spans="1:17" ht="15" customHeight="1">
      <c r="A63" s="166"/>
      <c r="B63" s="19"/>
      <c r="C63" s="17"/>
      <c r="D63" s="6"/>
      <c r="E63" s="5"/>
      <c r="F63" s="16"/>
      <c r="G63" s="167"/>
      <c r="H63" s="98"/>
      <c r="I63" s="141" t="s">
        <v>332</v>
      </c>
      <c r="N63" s="45"/>
    </row>
    <row r="64" spans="1:17" ht="15" hidden="1" customHeight="1">
      <c r="A64" s="168"/>
      <c r="B64" s="19"/>
      <c r="C64" s="17"/>
      <c r="D64" s="6"/>
      <c r="E64" s="5"/>
      <c r="F64" s="16"/>
      <c r="G64" s="167"/>
      <c r="H64" s="98"/>
      <c r="I64" s="99"/>
      <c r="J64" s="102" t="s">
        <v>267</v>
      </c>
      <c r="K64" s="102" t="s">
        <v>268</v>
      </c>
    </row>
    <row r="65" spans="1:11" ht="15" hidden="1" customHeight="1">
      <c r="A65" s="168"/>
      <c r="B65" s="19"/>
      <c r="C65" s="17"/>
      <c r="D65" s="6"/>
      <c r="E65" s="5"/>
      <c r="F65" s="16"/>
      <c r="G65" s="167"/>
      <c r="H65" s="98"/>
      <c r="I65" s="99" t="s">
        <v>271</v>
      </c>
      <c r="J65" s="100">
        <f>D6+D7+D8+D9+D10</f>
        <v>-550.63800000000015</v>
      </c>
      <c r="K65" s="100">
        <f>(J65/D61)*100</f>
        <v>34.44084285737631</v>
      </c>
    </row>
    <row r="66" spans="1:11" ht="15" hidden="1" customHeight="1">
      <c r="A66" s="168"/>
      <c r="B66" s="19"/>
      <c r="C66" s="17"/>
      <c r="D66" s="6"/>
      <c r="E66" s="5"/>
      <c r="F66" s="16"/>
      <c r="G66" s="167"/>
      <c r="H66" s="98"/>
      <c r="I66" s="99" t="s">
        <v>275</v>
      </c>
      <c r="J66" s="100">
        <f>D11+D12+D13+D18</f>
        <v>-104.55196518594191</v>
      </c>
      <c r="K66" s="100">
        <f>(J66/D61)*100</f>
        <v>6.5394284509948513</v>
      </c>
    </row>
    <row r="67" spans="1:11" ht="15" customHeight="1">
      <c r="A67" s="169" t="s">
        <v>333</v>
      </c>
      <c r="B67" s="19"/>
      <c r="C67" s="17"/>
      <c r="D67" s="6"/>
      <c r="E67" s="5"/>
      <c r="F67" s="16"/>
      <c r="G67" s="167"/>
      <c r="H67" s="98"/>
      <c r="I67" s="99" t="s">
        <v>272</v>
      </c>
      <c r="J67" s="101">
        <f>D27</f>
        <v>-136.7744749059151</v>
      </c>
      <c r="K67" s="100">
        <f>(J67/D61)*100</f>
        <v>8.5548549085511354</v>
      </c>
    </row>
    <row r="68" spans="1:11" ht="15" customHeight="1">
      <c r="A68" s="170"/>
      <c r="B68" s="17"/>
      <c r="C68" s="17"/>
      <c r="D68" s="20"/>
      <c r="E68" s="5"/>
      <c r="F68" s="16"/>
      <c r="G68" s="167"/>
      <c r="H68" s="98"/>
      <c r="I68" s="99" t="s">
        <v>273</v>
      </c>
      <c r="J68" s="100">
        <f>D28+D29+D30+D31+D37+D34</f>
        <v>-47.975148463764526</v>
      </c>
      <c r="K68" s="100">
        <f>(J68/D61)*100</f>
        <v>3.0007092668864339</v>
      </c>
    </row>
    <row r="69" spans="1:11" ht="15.75" customHeight="1">
      <c r="A69" s="171" t="s">
        <v>65</v>
      </c>
      <c r="B69" s="21"/>
      <c r="C69" s="22" t="s">
        <v>66</v>
      </c>
      <c r="D69" s="23" t="s">
        <v>67</v>
      </c>
      <c r="E69" s="103" t="s">
        <v>68</v>
      </c>
      <c r="F69" s="16"/>
      <c r="G69" s="167"/>
      <c r="H69" s="98"/>
      <c r="I69" s="99" t="s">
        <v>274</v>
      </c>
      <c r="J69" s="100">
        <f>D61-(J70+J68+J67+J66+J65)</f>
        <v>-161.80352997253362</v>
      </c>
      <c r="K69" s="100">
        <f>(J69/D61)*100</f>
        <v>10.120351209965181</v>
      </c>
    </row>
    <row r="70" spans="1:11" ht="15.75" customHeight="1">
      <c r="A70" s="172" t="s">
        <v>69</v>
      </c>
      <c r="B70" s="13"/>
      <c r="C70" s="107">
        <f>-SUM(D6:D7,D9,D11,D17:D18,D20:D32,D34:D35,D37,D40,D43,D48,D50,D53:D55,D38,D56:D57)</f>
        <v>783.9590979440095</v>
      </c>
      <c r="D70" s="24">
        <f>SUM(E6:E7,E9,E11,E17:E18,E20:E32,E34:E35,E37,E40,E43,E48,E50,E53:E55,E38,E56:E57)</f>
        <v>0.49034414804100157</v>
      </c>
      <c r="E70" s="104">
        <f>D70/D$75</f>
        <v>0.78259494220021952</v>
      </c>
      <c r="F70" s="16"/>
      <c r="G70" s="167"/>
      <c r="H70" s="11"/>
      <c r="I70" s="99" t="s">
        <v>160</v>
      </c>
      <c r="J70" s="100">
        <f>D59</f>
        <v>-597.05050647184441</v>
      </c>
      <c r="K70" s="100">
        <f>(J70/D61)*100</f>
        <v>37.343813306226096</v>
      </c>
    </row>
    <row r="71" spans="1:11" ht="15" customHeight="1">
      <c r="A71" s="173" t="s">
        <v>276</v>
      </c>
      <c r="B71" s="19"/>
      <c r="C71" s="108">
        <f>-SUM(D13,D14:D16,D39,D47,D44,D46)</f>
        <v>93.023703809596668</v>
      </c>
      <c r="D71" s="25">
        <f>SUM(E13,E14:E16,E39,E47,E44,E46)</f>
        <v>5.8183684469968203E-2</v>
      </c>
      <c r="E71" s="105">
        <f>D71/D$75</f>
        <v>9.286183462510314E-2</v>
      </c>
      <c r="F71" s="16"/>
      <c r="G71" s="167"/>
      <c r="H71" s="11"/>
      <c r="I71" s="38"/>
      <c r="J71" s="39">
        <f>SUM(J65:J70)</f>
        <v>-1598.7936249999998</v>
      </c>
      <c r="K71" s="38">
        <v>100</v>
      </c>
    </row>
    <row r="72" spans="1:11" ht="15" customHeight="1">
      <c r="A72" s="173" t="s">
        <v>14</v>
      </c>
      <c r="B72" s="19"/>
      <c r="C72" s="108">
        <f>-SUM(D12,D49)</f>
        <v>30.459871302633115</v>
      </c>
      <c r="D72" s="25">
        <f>SUM(E12,E49)</f>
        <v>1.905178431183269E-2</v>
      </c>
      <c r="E72" s="105">
        <f>D72/D$75</f>
        <v>3.0406868526721E-2</v>
      </c>
      <c r="F72" s="16"/>
      <c r="G72" s="167"/>
      <c r="H72" s="11"/>
    </row>
    <row r="73" spans="1:11" ht="15" customHeight="1">
      <c r="A73" s="173" t="s">
        <v>70</v>
      </c>
      <c r="B73" s="19"/>
      <c r="C73" s="108">
        <f>-SUM(D8,D10,D19,D41,D33,D36,D42,D51,D45,D58,D4,D5)</f>
        <v>94.061876402238155</v>
      </c>
      <c r="D73" s="25">
        <f>SUM(E8,E10,E19,E41,E33,E36,E42,E51,E45,E58,E4,E5)</f>
        <v>5.8833031938214139E-2</v>
      </c>
      <c r="E73" s="105">
        <f>D73/D$75</f>
        <v>9.3898200708822141E-2</v>
      </c>
      <c r="F73" s="16"/>
      <c r="G73" s="167"/>
      <c r="H73" s="11"/>
    </row>
    <row r="74" spans="1:11" ht="15" customHeight="1">
      <c r="A74" s="174" t="s">
        <v>54</v>
      </c>
      <c r="B74" s="15"/>
      <c r="C74" s="109">
        <f>-SUM(D52)</f>
        <v>0.2385690696778795</v>
      </c>
      <c r="D74" s="26">
        <f>SUM(E52)</f>
        <v>1.4921817672238939E-4</v>
      </c>
      <c r="E74" s="106">
        <f>D74/D$75</f>
        <v>2.3815393913402181E-4</v>
      </c>
      <c r="F74" s="16"/>
      <c r="G74" s="167"/>
      <c r="H74" s="11"/>
    </row>
    <row r="75" spans="1:11" ht="15" customHeight="1">
      <c r="A75" s="172" t="s">
        <v>71</v>
      </c>
      <c r="B75" s="14"/>
      <c r="C75" s="27">
        <f>SUM(C70:C74)</f>
        <v>1001.7431185281553</v>
      </c>
      <c r="D75" s="28">
        <f>SUM(D70:D74)</f>
        <v>0.62656186693773908</v>
      </c>
      <c r="E75" s="71">
        <f>SUM(E70:E74)</f>
        <v>0.99999999999999989</v>
      </c>
      <c r="F75" s="16"/>
      <c r="G75" s="167"/>
      <c r="H75" s="11"/>
    </row>
    <row r="76" spans="1:11" ht="15" customHeight="1">
      <c r="A76" s="166"/>
      <c r="B76" s="19"/>
      <c r="C76" s="17"/>
      <c r="D76" s="20"/>
      <c r="E76" s="17"/>
      <c r="F76" s="16"/>
      <c r="G76" s="167"/>
      <c r="H76" s="11"/>
    </row>
    <row r="77" spans="1:11" ht="15" customHeight="1">
      <c r="A77" s="166"/>
      <c r="B77" s="19"/>
      <c r="C77" s="17"/>
      <c r="D77" s="20"/>
      <c r="E77" s="17"/>
      <c r="F77" s="16"/>
      <c r="G77" s="167"/>
      <c r="H77" s="11"/>
    </row>
    <row r="78" spans="1:11" ht="15" customHeight="1">
      <c r="A78" s="166"/>
      <c r="B78" s="29"/>
      <c r="C78" s="29"/>
      <c r="D78" s="30"/>
      <c r="E78" s="29"/>
      <c r="F78" s="30"/>
      <c r="G78" s="175"/>
      <c r="H78" s="11"/>
    </row>
    <row r="79" spans="1:11" ht="15.75" customHeight="1">
      <c r="A79" s="171" t="s">
        <v>72</v>
      </c>
      <c r="B79" s="21"/>
      <c r="C79" s="22" t="s">
        <v>66</v>
      </c>
      <c r="D79" s="23" t="s">
        <v>67</v>
      </c>
      <c r="E79" s="103" t="s">
        <v>68</v>
      </c>
      <c r="F79" s="30"/>
      <c r="G79" s="175"/>
      <c r="H79" s="11"/>
    </row>
    <row r="80" spans="1:11" ht="15.75" customHeight="1">
      <c r="A80" s="172" t="s">
        <v>73</v>
      </c>
      <c r="B80" s="13"/>
      <c r="C80" s="107">
        <f>SUMIF(B4:B58,"príjmová",D4:D58)*-1</f>
        <v>713.75868743550063</v>
      </c>
      <c r="D80" s="24">
        <f>SUMIF(B4:B58,"príjmová",E4:E58)</f>
        <v>0.44643578525371008</v>
      </c>
      <c r="E80" s="104">
        <f>D80/D$84</f>
        <v>0.71251668639782084</v>
      </c>
      <c r="F80" s="30"/>
      <c r="G80" s="175"/>
      <c r="H80" s="11"/>
    </row>
    <row r="81" spans="1:31" ht="15" customHeight="1">
      <c r="A81" s="173" t="s">
        <v>74</v>
      </c>
      <c r="B81" s="19"/>
      <c r="C81" s="108">
        <f>SUMIF(B4:B58,"majetková",D4:D58)*-1</f>
        <v>19.598357531543055</v>
      </c>
      <c r="D81" s="25">
        <f>SUMIF(B4:B58,"majetková",E4:E58)</f>
        <v>1.2258215960514015E-2</v>
      </c>
      <c r="E81" s="105">
        <f>D81/D$84</f>
        <v>1.9564254716656904E-2</v>
      </c>
      <c r="F81" s="30"/>
      <c r="G81" s="175"/>
      <c r="H81" s="11"/>
    </row>
    <row r="82" spans="1:31" ht="15" customHeight="1">
      <c r="A82" s="173" t="s">
        <v>75</v>
      </c>
      <c r="B82" s="19"/>
      <c r="C82" s="108">
        <f>SUMIF(B4:B58,"spotrebná",D4:D58)*-1</f>
        <v>252.51023760651324</v>
      </c>
      <c r="D82" s="25">
        <f>SUMIF(B4:B58,"spotrebná",E4:E58)</f>
        <v>0.15793798127417058</v>
      </c>
      <c r="E82" s="105">
        <f>D82/D$84</f>
        <v>0.25207084824053738</v>
      </c>
      <c r="F82" s="30"/>
      <c r="G82" s="175"/>
      <c r="H82" s="11"/>
    </row>
    <row r="83" spans="1:31" ht="15" customHeight="1">
      <c r="A83" s="174" t="s">
        <v>76</v>
      </c>
      <c r="B83" s="15"/>
      <c r="C83" s="109">
        <f>SUMIF(B4:B58,"podnikat.",D4:D58)*-1</f>
        <v>15.875835954598301</v>
      </c>
      <c r="D83" s="26">
        <f>SUMIF(B4:B58,"podnikat.",E4:E58)</f>
        <v>9.9298844493443013E-3</v>
      </c>
      <c r="E83" s="106">
        <f>D83/D$84</f>
        <v>1.5848210644984921E-2</v>
      </c>
      <c r="F83" s="30"/>
      <c r="G83" s="175"/>
      <c r="H83" s="11"/>
    </row>
    <row r="84" spans="1:31" ht="15" customHeight="1">
      <c r="A84" s="172" t="s">
        <v>71</v>
      </c>
      <c r="B84" s="14"/>
      <c r="C84" s="27">
        <f>SUM(C80:C83)</f>
        <v>1001.7431185281552</v>
      </c>
      <c r="D84" s="28">
        <f>SUM(D80:D83)</f>
        <v>0.62656186693773896</v>
      </c>
      <c r="E84" s="104">
        <f>SUM(E80:E83)</f>
        <v>1</v>
      </c>
      <c r="F84" s="30"/>
      <c r="G84" s="175"/>
      <c r="H84" s="11"/>
    </row>
    <row r="85" spans="1:31" ht="15" customHeight="1">
      <c r="A85" s="166"/>
      <c r="B85" s="29"/>
      <c r="C85" s="29"/>
      <c r="D85" s="30"/>
      <c r="E85" s="29"/>
      <c r="F85" s="30"/>
      <c r="G85" s="175"/>
      <c r="H85" s="11"/>
    </row>
    <row r="86" spans="1:31" ht="15" customHeight="1">
      <c r="A86" s="166"/>
      <c r="B86" s="29"/>
      <c r="C86" s="29"/>
      <c r="D86" s="30"/>
      <c r="E86" s="29"/>
      <c r="F86" s="30"/>
      <c r="G86" s="175"/>
      <c r="H86" s="11"/>
    </row>
    <row r="87" spans="1:31" ht="15" customHeight="1">
      <c r="A87" s="173" t="s">
        <v>77</v>
      </c>
      <c r="B87" s="29"/>
      <c r="C87" s="29"/>
      <c r="D87" s="30"/>
      <c r="E87" s="29"/>
      <c r="F87" s="30"/>
      <c r="G87" s="175"/>
      <c r="H87" s="11"/>
    </row>
    <row r="88" spans="1:31" ht="15" customHeight="1">
      <c r="A88" s="176" t="s">
        <v>78</v>
      </c>
      <c r="B88" s="181" t="s">
        <v>79</v>
      </c>
      <c r="C88" s="182"/>
      <c r="D88" s="183"/>
      <c r="E88" s="182"/>
      <c r="F88" s="177"/>
      <c r="G88" s="178"/>
      <c r="H88" s="11"/>
    </row>
    <row r="89" spans="1:31" ht="15" hidden="1" customHeight="1">
      <c r="A89" s="18"/>
      <c r="B89" s="29"/>
      <c r="C89" s="29"/>
      <c r="D89" s="30"/>
      <c r="E89" s="29"/>
      <c r="F89" s="30"/>
      <c r="G89" s="29"/>
      <c r="H89" s="11"/>
    </row>
    <row r="90" spans="1:31" ht="15" hidden="1" customHeight="1">
      <c r="A90" s="18"/>
      <c r="B90" s="29"/>
      <c r="C90" s="29"/>
      <c r="D90" s="30"/>
      <c r="E90" s="29"/>
      <c r="F90" s="30"/>
      <c r="G90" s="29"/>
      <c r="H90" s="11"/>
    </row>
    <row r="91" spans="1:31" ht="15" hidden="1" customHeight="1">
      <c r="A91" s="57" t="s">
        <v>227</v>
      </c>
      <c r="B91" s="29"/>
      <c r="C91" s="51" t="s">
        <v>231</v>
      </c>
      <c r="D91" s="30"/>
      <c r="E91" s="29"/>
      <c r="F91" s="30"/>
      <c r="G91" s="29"/>
      <c r="H91" s="11"/>
      <c r="J91" s="50" t="s">
        <v>230</v>
      </c>
      <c r="K91" s="38"/>
      <c r="N91" s="50" t="s">
        <v>197</v>
      </c>
      <c r="O91" s="50"/>
      <c r="S91" s="45" t="s">
        <v>198</v>
      </c>
    </row>
    <row r="92" spans="1:31" ht="15" hidden="1" customHeight="1">
      <c r="A92" s="31" t="s">
        <v>80</v>
      </c>
      <c r="B92" s="41">
        <v>1133</v>
      </c>
      <c r="C92" s="32" t="s">
        <v>81</v>
      </c>
      <c r="D92" s="30"/>
      <c r="E92" s="29"/>
      <c r="F92" s="30"/>
      <c r="G92" s="29"/>
      <c r="H92" s="11"/>
      <c r="I92" s="38"/>
      <c r="J92" s="38"/>
      <c r="K92" s="38"/>
      <c r="L92" s="38"/>
      <c r="M92" s="38"/>
      <c r="N92" s="38" t="s">
        <v>174</v>
      </c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ht="15" hidden="1" customHeight="1">
      <c r="A93" s="31" t="s">
        <v>82</v>
      </c>
      <c r="B93" s="43">
        <v>0.35199999999999998</v>
      </c>
      <c r="C93" s="116" t="s">
        <v>284</v>
      </c>
      <c r="D93" s="30"/>
      <c r="E93" s="29"/>
      <c r="F93" s="30"/>
      <c r="G93" s="29"/>
      <c r="H93" s="11"/>
      <c r="I93" s="38"/>
      <c r="J93" s="117" t="s">
        <v>203</v>
      </c>
      <c r="K93" s="38"/>
      <c r="L93" s="38"/>
      <c r="M93" s="38"/>
      <c r="N93" s="38"/>
      <c r="O93" s="116"/>
      <c r="P93" s="38"/>
      <c r="Q93" s="38"/>
      <c r="R93" s="38"/>
      <c r="S93" s="38"/>
      <c r="T93" s="38"/>
      <c r="U93" s="38"/>
      <c r="V93" s="38"/>
      <c r="W93" s="38"/>
      <c r="X93" s="38"/>
      <c r="Y93" s="116"/>
      <c r="Z93" s="38"/>
      <c r="AA93" s="38"/>
      <c r="AB93" s="38"/>
      <c r="AC93" s="38"/>
      <c r="AD93" s="38"/>
      <c r="AE93" s="38"/>
    </row>
    <row r="94" spans="1:31" ht="15" hidden="1" customHeight="1">
      <c r="A94" s="31" t="s">
        <v>191</v>
      </c>
      <c r="B94" s="43">
        <v>0.19</v>
      </c>
      <c r="C94" s="116" t="s">
        <v>204</v>
      </c>
      <c r="D94" s="30"/>
      <c r="E94" s="29"/>
      <c r="F94" s="30"/>
      <c r="G94" s="29"/>
      <c r="H94" s="11"/>
      <c r="I94" s="38"/>
      <c r="J94" s="38"/>
      <c r="K94" s="38"/>
      <c r="L94" s="38"/>
      <c r="M94" s="38"/>
      <c r="N94" s="38"/>
      <c r="O94" s="11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ht="15" hidden="1" customHeight="1">
      <c r="A95" s="31" t="s">
        <v>192</v>
      </c>
      <c r="B95" s="41">
        <v>251</v>
      </c>
      <c r="C95" s="118" t="s">
        <v>285</v>
      </c>
      <c r="D95" s="30"/>
      <c r="E95" s="29"/>
      <c r="F95" s="30"/>
      <c r="G95" s="29"/>
      <c r="H95" s="11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ht="15" hidden="1" customHeight="1">
      <c r="A96" s="31" t="s">
        <v>83</v>
      </c>
      <c r="B96" s="52">
        <v>3.8299999999999996</v>
      </c>
      <c r="C96" s="118" t="s">
        <v>286</v>
      </c>
      <c r="D96" s="30"/>
      <c r="E96" s="29"/>
      <c r="F96" s="30"/>
      <c r="G96" s="29"/>
      <c r="H96" s="11"/>
      <c r="I96" s="38"/>
      <c r="J96" s="119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ht="15" hidden="1" customHeight="1">
      <c r="A97" s="31" t="s">
        <v>162</v>
      </c>
      <c r="B97" s="53">
        <v>0.55000000000000004</v>
      </c>
      <c r="C97" s="120" t="s">
        <v>286</v>
      </c>
      <c r="D97" s="30"/>
      <c r="E97" s="29"/>
      <c r="F97" s="30"/>
      <c r="G97" s="29"/>
      <c r="H97" s="11"/>
      <c r="I97" s="38"/>
      <c r="J97" s="119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ht="15" hidden="1" customHeight="1">
      <c r="A98" s="31" t="s">
        <v>84</v>
      </c>
      <c r="B98" s="43">
        <v>0.25200000000000006</v>
      </c>
      <c r="C98" s="116" t="s">
        <v>284</v>
      </c>
      <c r="D98" s="30"/>
      <c r="E98" s="29"/>
      <c r="F98" s="30"/>
      <c r="G98" s="29"/>
      <c r="H98" s="11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ht="15" hidden="1" customHeight="1">
      <c r="A99" s="31" t="s">
        <v>85</v>
      </c>
      <c r="B99" s="43">
        <v>9.4E-2</v>
      </c>
      <c r="C99" s="116" t="s">
        <v>284</v>
      </c>
      <c r="D99" s="30"/>
      <c r="E99" s="29"/>
      <c r="F99" s="30"/>
      <c r="G99" s="29"/>
      <c r="H99" s="11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ht="15" hidden="1" customHeight="1">
      <c r="A100" s="31" t="s">
        <v>86</v>
      </c>
      <c r="B100" s="54">
        <v>0.05</v>
      </c>
      <c r="C100" s="121" t="s">
        <v>193</v>
      </c>
      <c r="D100" s="30"/>
      <c r="E100" s="29"/>
      <c r="F100" s="30"/>
      <c r="G100" s="29"/>
      <c r="H100" s="11"/>
      <c r="I100" s="38"/>
      <c r="J100" s="122" t="s">
        <v>161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ht="15" hidden="1" customHeight="1">
      <c r="A101" s="31" t="s">
        <v>87</v>
      </c>
      <c r="B101" s="43">
        <f>1%+0.3%</f>
        <v>1.3000000000000001E-2</v>
      </c>
      <c r="C101" s="116" t="s">
        <v>287</v>
      </c>
      <c r="D101" s="30"/>
      <c r="E101" s="29"/>
      <c r="F101" s="30"/>
      <c r="G101" s="29"/>
      <c r="H101" s="11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ht="15" hidden="1" customHeight="1">
      <c r="A102" s="31" t="s">
        <v>88</v>
      </c>
      <c r="B102" s="43">
        <v>0.1</v>
      </c>
      <c r="C102" s="116" t="s">
        <v>194</v>
      </c>
      <c r="D102" s="30"/>
      <c r="E102" s="29"/>
      <c r="F102" s="30"/>
      <c r="G102" s="29"/>
      <c r="H102" s="11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ht="15" hidden="1" customHeight="1">
      <c r="A103" s="31" t="s">
        <v>89</v>
      </c>
      <c r="B103" s="43">
        <v>0.04</v>
      </c>
      <c r="C103" s="116" t="s">
        <v>194</v>
      </c>
      <c r="D103" s="30"/>
      <c r="E103" s="29"/>
      <c r="F103" s="30"/>
      <c r="G103" s="29"/>
      <c r="H103" s="11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ht="15" hidden="1" customHeight="1">
      <c r="A104" s="31" t="s">
        <v>90</v>
      </c>
      <c r="B104" s="59">
        <v>3.7100000000000001E-2</v>
      </c>
      <c r="C104" s="118" t="s">
        <v>223</v>
      </c>
      <c r="D104" s="30"/>
      <c r="E104" s="29"/>
      <c r="F104" s="30"/>
      <c r="G104" s="29"/>
      <c r="H104" s="11"/>
      <c r="I104" s="38"/>
      <c r="J104" s="38"/>
      <c r="K104" s="38"/>
      <c r="L104" s="38"/>
      <c r="M104" s="38"/>
      <c r="N104" s="45" t="s">
        <v>288</v>
      </c>
      <c r="O104" s="123" t="s">
        <v>289</v>
      </c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ht="15" hidden="1" customHeight="1">
      <c r="A105" s="31" t="s">
        <v>91</v>
      </c>
      <c r="B105" s="41">
        <v>3090.0680000000002</v>
      </c>
      <c r="C105" s="118" t="s">
        <v>290</v>
      </c>
      <c r="D105" s="30"/>
      <c r="E105" s="29"/>
      <c r="F105" s="30"/>
      <c r="G105" s="29"/>
      <c r="H105" s="11"/>
      <c r="I105" s="38"/>
      <c r="J105" s="38"/>
      <c r="K105" s="38"/>
      <c r="L105" s="38"/>
      <c r="M105" s="38"/>
      <c r="N105" s="45" t="s">
        <v>291</v>
      </c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ht="15" hidden="1" customHeight="1">
      <c r="A106" s="31" t="s">
        <v>92</v>
      </c>
      <c r="B106" s="60">
        <v>2.5840000000000001</v>
      </c>
      <c r="C106" s="118" t="s">
        <v>205</v>
      </c>
      <c r="D106" s="30"/>
      <c r="E106" s="29"/>
      <c r="F106" s="30"/>
      <c r="G106" s="29"/>
      <c r="H106" s="11"/>
      <c r="I106" s="38"/>
      <c r="J106" s="38"/>
      <c r="K106" s="38"/>
      <c r="L106" s="38"/>
      <c r="M106" s="38"/>
      <c r="N106" s="38" t="s">
        <v>174</v>
      </c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ht="15" hidden="1" customHeight="1">
      <c r="A107" s="31" t="s">
        <v>93</v>
      </c>
      <c r="B107" s="55">
        <v>0</v>
      </c>
      <c r="C107" s="116" t="s">
        <v>292</v>
      </c>
      <c r="D107" s="30"/>
      <c r="E107" s="29"/>
      <c r="F107" s="30"/>
      <c r="G107" s="29"/>
      <c r="H107" s="11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ht="15" hidden="1" customHeight="1">
      <c r="A108" s="31" t="s">
        <v>94</v>
      </c>
      <c r="B108" s="43">
        <v>0.3</v>
      </c>
      <c r="C108" s="116" t="s">
        <v>292</v>
      </c>
      <c r="D108" s="30"/>
      <c r="E108" s="29"/>
      <c r="F108" s="30"/>
      <c r="G108" s="29"/>
      <c r="H108" s="11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ht="15" hidden="1" customHeight="1">
      <c r="A109" s="31" t="s">
        <v>95</v>
      </c>
      <c r="B109" s="43">
        <v>0.7</v>
      </c>
      <c r="C109" s="116" t="s">
        <v>292</v>
      </c>
      <c r="D109" s="30"/>
      <c r="E109" s="29"/>
      <c r="F109" s="30"/>
      <c r="G109" s="29"/>
      <c r="H109" s="1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ht="15" hidden="1" customHeight="1">
      <c r="A110" s="31" t="s">
        <v>96</v>
      </c>
      <c r="B110" s="52">
        <v>2.7127119999999998</v>
      </c>
      <c r="C110" s="121" t="s">
        <v>293</v>
      </c>
      <c r="D110" s="30"/>
      <c r="E110" s="29"/>
      <c r="F110" s="30"/>
      <c r="G110" s="29"/>
      <c r="H110" s="11"/>
      <c r="I110" s="38"/>
      <c r="J110" s="38"/>
      <c r="K110" s="38"/>
      <c r="L110" s="38"/>
      <c r="M110" s="38"/>
      <c r="N110" s="38" t="s">
        <v>174</v>
      </c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ht="15" hidden="1" customHeight="1">
      <c r="A111" s="31" t="s">
        <v>97</v>
      </c>
      <c r="B111" s="52">
        <v>0.18144199999999999</v>
      </c>
      <c r="C111" s="121" t="s">
        <v>293</v>
      </c>
      <c r="D111" s="30"/>
      <c r="E111" s="29"/>
      <c r="F111" s="30"/>
      <c r="G111" s="29"/>
      <c r="H111" s="11"/>
      <c r="I111" s="38"/>
      <c r="J111" s="38"/>
      <c r="K111" s="38"/>
      <c r="L111" s="38"/>
      <c r="M111" s="38"/>
      <c r="N111" s="38" t="s">
        <v>174</v>
      </c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ht="15" hidden="1" customHeight="1">
      <c r="A112" s="31" t="s">
        <v>98</v>
      </c>
      <c r="B112" s="52">
        <v>1.1053980000000001</v>
      </c>
      <c r="C112" s="118" t="s">
        <v>182</v>
      </c>
      <c r="D112" s="30"/>
      <c r="E112" s="29"/>
      <c r="F112" s="30"/>
      <c r="G112" s="29"/>
      <c r="H112" s="11"/>
      <c r="I112" s="38"/>
      <c r="J112" s="38"/>
      <c r="K112" s="38"/>
      <c r="L112" s="38"/>
      <c r="M112" s="38"/>
      <c r="N112" s="45" t="s">
        <v>199</v>
      </c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ht="15" hidden="1" customHeight="1">
      <c r="A113" s="31" t="s">
        <v>99</v>
      </c>
      <c r="B113" s="52">
        <f>0.484517/0.52+0.005891+0.006336+0.007551</f>
        <v>0.95154146153846142</v>
      </c>
      <c r="C113" s="118" t="s">
        <v>220</v>
      </c>
      <c r="D113" s="30"/>
      <c r="E113" s="29"/>
      <c r="F113" s="30"/>
      <c r="G113" s="29"/>
      <c r="H113" s="11"/>
      <c r="I113" s="38"/>
      <c r="J113" s="38"/>
      <c r="K113" s="38"/>
      <c r="L113" s="38"/>
      <c r="M113" s="38"/>
      <c r="N113" s="38" t="s">
        <v>174</v>
      </c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ht="15" hidden="1" customHeight="1">
      <c r="A114" s="31" t="s">
        <v>100</v>
      </c>
      <c r="B114" s="52">
        <f>0.340415/0.337+0.011707+0.012368+0.012559</f>
        <v>1.0467675311572699</v>
      </c>
      <c r="C114" s="118" t="s">
        <v>220</v>
      </c>
      <c r="D114" s="30"/>
      <c r="E114" s="29"/>
      <c r="F114" s="30"/>
      <c r="G114" s="29"/>
      <c r="H114" s="11"/>
      <c r="I114" s="38"/>
      <c r="J114" s="38"/>
      <c r="K114" s="38"/>
      <c r="L114" s="38"/>
      <c r="M114" s="38"/>
      <c r="N114" s="38" t="s">
        <v>174</v>
      </c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ht="15" hidden="1" customHeight="1">
      <c r="A115" s="31" t="s">
        <v>101</v>
      </c>
      <c r="B115" s="52">
        <v>69.599999999999994</v>
      </c>
      <c r="C115" s="121" t="s">
        <v>294</v>
      </c>
      <c r="D115" s="30"/>
      <c r="E115" s="29"/>
      <c r="F115" s="30"/>
      <c r="G115" s="29"/>
      <c r="H115" s="11"/>
      <c r="I115" s="38"/>
      <c r="J115" s="38"/>
      <c r="K115" s="38"/>
      <c r="L115" s="38"/>
      <c r="M115" s="38"/>
      <c r="N115" s="45" t="s">
        <v>174</v>
      </c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118"/>
      <c r="Z115" s="38"/>
      <c r="AA115" s="38"/>
      <c r="AB115" s="38"/>
      <c r="AC115" s="38"/>
      <c r="AD115" s="38"/>
      <c r="AE115" s="38"/>
    </row>
    <row r="116" spans="1:31" ht="15" hidden="1" customHeight="1">
      <c r="A116" s="31" t="s">
        <v>102</v>
      </c>
      <c r="B116" s="52">
        <v>120</v>
      </c>
      <c r="C116" s="121" t="s">
        <v>294</v>
      </c>
      <c r="D116" s="30"/>
      <c r="E116" s="29"/>
      <c r="F116" s="30"/>
      <c r="G116" s="29"/>
      <c r="H116" s="11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ht="15" hidden="1" customHeight="1">
      <c r="A117" s="31" t="s">
        <v>103</v>
      </c>
      <c r="B117" s="52">
        <v>0.66125</v>
      </c>
      <c r="C117" s="124" t="s">
        <v>195</v>
      </c>
      <c r="D117" s="30"/>
      <c r="E117" s="29"/>
      <c r="F117" s="30"/>
      <c r="G117" s="29"/>
      <c r="H117" s="11"/>
      <c r="I117" s="38"/>
      <c r="J117" s="38"/>
      <c r="K117" s="38"/>
      <c r="L117" s="38"/>
      <c r="M117" s="38"/>
      <c r="N117" s="45" t="s">
        <v>188</v>
      </c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ht="15" hidden="1" customHeight="1">
      <c r="A118" s="31" t="s">
        <v>104</v>
      </c>
      <c r="B118" s="52">
        <v>0.66749999999999998</v>
      </c>
      <c r="C118" s="124" t="s">
        <v>195</v>
      </c>
      <c r="D118" s="30"/>
      <c r="E118" s="29"/>
      <c r="F118" s="30"/>
      <c r="G118" s="29"/>
      <c r="H118" s="11"/>
      <c r="I118" s="38"/>
      <c r="J118" s="38"/>
      <c r="K118" s="38"/>
      <c r="L118" s="38"/>
      <c r="M118" s="38"/>
      <c r="N118" s="45" t="s">
        <v>219</v>
      </c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ht="15" hidden="1" customHeight="1">
      <c r="A119" s="31" t="s">
        <v>105</v>
      </c>
      <c r="B119" s="52">
        <v>5.4601360000000003</v>
      </c>
      <c r="C119" s="32" t="s">
        <v>163</v>
      </c>
      <c r="D119" s="30"/>
      <c r="E119" s="29"/>
      <c r="F119" s="30"/>
      <c r="G119" s="29"/>
      <c r="H119" s="11"/>
      <c r="I119" s="38"/>
      <c r="J119" s="38"/>
      <c r="K119" s="38"/>
      <c r="L119" s="38"/>
      <c r="M119" s="38"/>
      <c r="N119" s="45" t="s">
        <v>174</v>
      </c>
      <c r="O119" s="125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ht="15" hidden="1" customHeight="1">
      <c r="A120" s="31" t="s">
        <v>106</v>
      </c>
      <c r="B120" s="52">
        <v>31.776250000000001</v>
      </c>
      <c r="C120" s="124" t="s">
        <v>195</v>
      </c>
      <c r="D120" s="30"/>
      <c r="E120" s="29"/>
      <c r="F120" s="30"/>
      <c r="G120" s="29"/>
      <c r="H120" s="11"/>
      <c r="I120" s="38"/>
      <c r="J120" s="38"/>
      <c r="K120" s="38"/>
      <c r="L120" s="38"/>
      <c r="M120" s="38"/>
      <c r="N120" s="45" t="s">
        <v>218</v>
      </c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ht="15" hidden="1" customHeight="1">
      <c r="A121" s="31" t="s">
        <v>107</v>
      </c>
      <c r="B121" s="52">
        <v>235.08099999999999</v>
      </c>
      <c r="C121" s="118" t="s">
        <v>290</v>
      </c>
      <c r="D121" s="30"/>
      <c r="E121" s="29"/>
      <c r="F121" s="30"/>
      <c r="G121" s="29"/>
      <c r="H121" s="11"/>
      <c r="I121" s="38"/>
      <c r="J121" s="38"/>
      <c r="K121" s="38"/>
      <c r="L121" s="38"/>
      <c r="M121" s="38"/>
      <c r="N121" s="45" t="s">
        <v>291</v>
      </c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ht="15" hidden="1" customHeight="1">
      <c r="A122" s="31" t="s">
        <v>108</v>
      </c>
      <c r="B122" s="52">
        <v>54284.362000000001</v>
      </c>
      <c r="C122" s="118" t="s">
        <v>201</v>
      </c>
      <c r="D122" s="126"/>
      <c r="E122" s="29"/>
      <c r="F122" s="30"/>
      <c r="G122" s="29"/>
      <c r="H122" s="11"/>
      <c r="I122" s="38"/>
      <c r="J122" s="127" t="s">
        <v>207</v>
      </c>
      <c r="K122" s="47"/>
      <c r="L122" s="38"/>
      <c r="M122" s="38"/>
      <c r="N122" s="45" t="s">
        <v>202</v>
      </c>
      <c r="O122" s="38"/>
      <c r="P122" s="38"/>
      <c r="Q122" s="38"/>
      <c r="R122" s="38"/>
      <c r="S122" s="116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ht="15" hidden="1" customHeight="1">
      <c r="A123" s="49" t="s">
        <v>238</v>
      </c>
      <c r="B123" s="52">
        <v>116.53360223345078</v>
      </c>
      <c r="C123" s="118" t="s">
        <v>295</v>
      </c>
      <c r="D123" s="128"/>
      <c r="E123" s="29"/>
      <c r="F123" s="30"/>
      <c r="G123" s="29"/>
      <c r="H123" s="11"/>
      <c r="I123" s="38"/>
      <c r="J123" s="38"/>
      <c r="K123" s="38"/>
      <c r="L123" s="38"/>
      <c r="M123" s="38"/>
      <c r="N123" s="45" t="s">
        <v>226</v>
      </c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ht="15" hidden="1" customHeight="1">
      <c r="A124" s="31" t="s">
        <v>329</v>
      </c>
      <c r="B124" s="139">
        <v>3.35</v>
      </c>
      <c r="C124" s="118" t="s">
        <v>109</v>
      </c>
      <c r="D124" s="30"/>
      <c r="E124" s="29"/>
      <c r="F124" s="30"/>
      <c r="G124" s="29"/>
      <c r="H124" s="11"/>
      <c r="I124" s="38"/>
      <c r="J124" s="38"/>
      <c r="K124" s="45"/>
      <c r="L124" s="38"/>
      <c r="M124" s="38"/>
      <c r="N124" s="45" t="s">
        <v>177</v>
      </c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ht="15" hidden="1" customHeight="1">
      <c r="A125" s="31" t="s">
        <v>110</v>
      </c>
      <c r="B125" s="52">
        <v>7.6300000000000007E-2</v>
      </c>
      <c r="C125" s="118" t="s">
        <v>178</v>
      </c>
      <c r="D125" s="30"/>
      <c r="E125" s="29"/>
      <c r="F125" s="30"/>
      <c r="G125" s="29"/>
      <c r="H125" s="11"/>
      <c r="I125" s="38"/>
      <c r="J125" s="38"/>
      <c r="K125" s="45"/>
      <c r="L125" s="38"/>
      <c r="M125" s="45"/>
      <c r="N125" s="38" t="s">
        <v>177</v>
      </c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ht="15" hidden="1" customHeight="1">
      <c r="A126" s="31" t="s">
        <v>111</v>
      </c>
      <c r="B126" s="52">
        <v>5.7178E-2</v>
      </c>
      <c r="C126" s="118" t="s">
        <v>179</v>
      </c>
      <c r="D126" s="30"/>
      <c r="E126" s="29"/>
      <c r="F126" s="30"/>
      <c r="G126" s="29"/>
      <c r="H126" s="11"/>
      <c r="I126" s="38"/>
      <c r="J126" s="38"/>
      <c r="K126" s="45"/>
      <c r="L126" s="38"/>
      <c r="M126" s="38"/>
      <c r="N126" s="38" t="s">
        <v>177</v>
      </c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ht="15" hidden="1" customHeight="1">
      <c r="A127" s="31" t="s">
        <v>112</v>
      </c>
      <c r="B127" s="52">
        <v>0.32379799999999997</v>
      </c>
      <c r="C127" s="120" t="s">
        <v>180</v>
      </c>
      <c r="D127" s="30"/>
      <c r="E127" s="29"/>
      <c r="F127" s="30"/>
      <c r="G127" s="29"/>
      <c r="H127" s="11"/>
      <c r="I127" s="38"/>
      <c r="J127" s="38"/>
      <c r="K127" s="45"/>
      <c r="L127" s="38"/>
      <c r="M127" s="38"/>
      <c r="N127" s="38" t="s">
        <v>177</v>
      </c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ht="15" hidden="1" customHeight="1">
      <c r="A128" s="31" t="s">
        <v>113</v>
      </c>
      <c r="B128" s="140">
        <v>0.72839882094242214</v>
      </c>
      <c r="C128" s="118" t="s">
        <v>109</v>
      </c>
      <c r="D128" s="34"/>
      <c r="E128" s="29"/>
      <c r="F128" s="30"/>
      <c r="G128" s="29"/>
      <c r="H128" s="11"/>
      <c r="I128" s="38"/>
      <c r="J128" s="38"/>
      <c r="K128" s="45"/>
      <c r="L128" s="38"/>
      <c r="M128" s="38"/>
      <c r="N128" s="38" t="s">
        <v>177</v>
      </c>
      <c r="O128" s="34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ht="15" hidden="1" customHeight="1">
      <c r="A129" s="31" t="s">
        <v>114</v>
      </c>
      <c r="B129" s="52">
        <v>33</v>
      </c>
      <c r="C129" s="129" t="s">
        <v>296</v>
      </c>
      <c r="D129" s="30"/>
      <c r="E129" s="29"/>
      <c r="F129" s="30"/>
      <c r="G129" s="29"/>
      <c r="H129" s="11"/>
      <c r="I129" s="38"/>
      <c r="J129" s="38"/>
      <c r="K129" s="38"/>
      <c r="L129" s="38"/>
      <c r="M129" s="38"/>
      <c r="N129" s="38" t="s">
        <v>181</v>
      </c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ht="15" hidden="1" customHeight="1">
      <c r="A130" s="31" t="s">
        <v>115</v>
      </c>
      <c r="B130" s="52">
        <v>12</v>
      </c>
      <c r="C130" s="118" t="s">
        <v>297</v>
      </c>
      <c r="D130" s="30"/>
      <c r="E130" s="29"/>
      <c r="F130" s="30"/>
      <c r="G130" s="29"/>
      <c r="H130" s="11"/>
      <c r="I130" s="38"/>
      <c r="J130" s="38"/>
      <c r="K130" s="38"/>
      <c r="L130" s="38"/>
      <c r="M130" s="38"/>
      <c r="N130" s="38" t="s">
        <v>181</v>
      </c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ht="15" hidden="1" customHeight="1">
      <c r="A131" s="31" t="s">
        <v>240</v>
      </c>
      <c r="B131" s="52">
        <f>40+34</f>
        <v>74</v>
      </c>
      <c r="C131" s="118" t="s">
        <v>298</v>
      </c>
      <c r="D131" s="30"/>
      <c r="E131" s="29"/>
      <c r="F131" s="30"/>
      <c r="G131" s="29"/>
      <c r="H131" s="11"/>
      <c r="I131" s="38"/>
      <c r="J131" s="38"/>
      <c r="K131" s="38"/>
      <c r="L131" s="45"/>
      <c r="M131" s="38"/>
      <c r="N131" s="38" t="s">
        <v>299</v>
      </c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ht="15" hidden="1" customHeight="1">
      <c r="A132" s="31" t="s">
        <v>241</v>
      </c>
      <c r="B132" s="52">
        <v>77</v>
      </c>
      <c r="C132" s="118" t="s">
        <v>255</v>
      </c>
      <c r="D132" s="30"/>
      <c r="E132" s="29"/>
      <c r="F132" s="30"/>
      <c r="G132" s="29"/>
      <c r="H132" s="11"/>
      <c r="I132" s="38"/>
      <c r="J132" s="38"/>
      <c r="K132" s="38"/>
      <c r="L132" s="45"/>
      <c r="M132" s="38"/>
      <c r="N132" s="45" t="s">
        <v>256</v>
      </c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ht="15" hidden="1" customHeight="1">
      <c r="A133" s="31" t="s">
        <v>23</v>
      </c>
      <c r="B133" s="52">
        <f>219.407+111.807</f>
        <v>331.214</v>
      </c>
      <c r="C133" s="118" t="s">
        <v>290</v>
      </c>
      <c r="D133" s="30"/>
      <c r="E133" s="29"/>
      <c r="F133" s="30"/>
      <c r="G133" s="29"/>
      <c r="H133" s="11"/>
      <c r="I133" s="38"/>
      <c r="J133" s="38"/>
      <c r="K133" s="38"/>
      <c r="L133" s="38"/>
      <c r="M133" s="38"/>
      <c r="N133" s="45" t="s">
        <v>291</v>
      </c>
      <c r="O133" s="47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ht="15" hidden="1" customHeight="1">
      <c r="A134" s="31" t="s">
        <v>116</v>
      </c>
      <c r="B134" s="52">
        <v>212.59</v>
      </c>
      <c r="C134" s="118" t="s">
        <v>290</v>
      </c>
      <c r="D134" s="30"/>
      <c r="E134" s="29"/>
      <c r="F134" s="30"/>
      <c r="G134" s="29"/>
      <c r="H134" s="11"/>
      <c r="I134" s="38"/>
      <c r="J134" s="38"/>
      <c r="K134" s="38"/>
      <c r="L134" s="38"/>
      <c r="M134" s="38"/>
      <c r="N134" s="45" t="s">
        <v>291</v>
      </c>
      <c r="O134" s="38"/>
      <c r="P134" s="38"/>
      <c r="Q134" s="38"/>
      <c r="R134" s="38"/>
      <c r="S134" s="130"/>
      <c r="T134" s="130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ht="15" hidden="1" customHeight="1">
      <c r="A135" s="49" t="s">
        <v>232</v>
      </c>
      <c r="B135" s="52">
        <v>12.259397999999999</v>
      </c>
      <c r="C135" s="118" t="s">
        <v>300</v>
      </c>
      <c r="D135" s="30"/>
      <c r="E135" s="29"/>
      <c r="F135" s="30"/>
      <c r="G135" s="29"/>
      <c r="H135" s="11"/>
      <c r="I135" s="38"/>
      <c r="J135" s="38"/>
      <c r="K135" s="38"/>
      <c r="L135" s="38"/>
      <c r="M135" s="38"/>
      <c r="N135" s="45" t="s">
        <v>301</v>
      </c>
      <c r="O135" s="38"/>
      <c r="P135" s="38"/>
      <c r="Q135" s="38"/>
      <c r="R135" s="38"/>
      <c r="S135" s="130"/>
      <c r="T135" s="130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ht="15" hidden="1" customHeight="1">
      <c r="A136" s="49" t="s">
        <v>242</v>
      </c>
      <c r="B136" s="52">
        <v>4.6399999999999997</v>
      </c>
      <c r="C136" s="120" t="s">
        <v>302</v>
      </c>
      <c r="D136" s="30"/>
      <c r="E136" s="29"/>
      <c r="F136" s="30"/>
      <c r="G136" s="29"/>
      <c r="H136" s="11"/>
      <c r="I136" s="38"/>
      <c r="J136" s="45" t="s">
        <v>206</v>
      </c>
      <c r="K136" s="38"/>
      <c r="L136" s="38"/>
      <c r="M136" s="38"/>
      <c r="N136" s="45"/>
      <c r="O136" s="38"/>
      <c r="P136" s="38"/>
      <c r="Q136" s="38"/>
      <c r="R136" s="38"/>
      <c r="S136" s="130"/>
      <c r="T136" s="130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ht="15" hidden="1" customHeight="1">
      <c r="A137" s="31" t="s">
        <v>117</v>
      </c>
      <c r="B137" s="60">
        <f>30.947/$B$119/12</f>
        <v>0.47231729514918058</v>
      </c>
      <c r="C137" s="118" t="s">
        <v>228</v>
      </c>
      <c r="D137" s="30"/>
      <c r="E137" s="29"/>
      <c r="F137" s="30"/>
      <c r="G137" s="29"/>
      <c r="H137" s="11"/>
      <c r="I137" s="38"/>
      <c r="J137" s="127" t="s">
        <v>176</v>
      </c>
      <c r="K137" s="38"/>
      <c r="L137" s="38"/>
      <c r="M137" s="38"/>
      <c r="N137" s="38"/>
      <c r="O137" s="38"/>
      <c r="P137" s="38"/>
      <c r="Q137" s="38"/>
      <c r="R137" s="38"/>
      <c r="S137" s="47"/>
      <c r="T137" s="130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ht="15" hidden="1" customHeight="1">
      <c r="A138" s="31" t="s">
        <v>118</v>
      </c>
      <c r="B138" s="52">
        <f>5.99/1.2</f>
        <v>4.9916666666666671</v>
      </c>
      <c r="C138" s="120" t="s">
        <v>303</v>
      </c>
      <c r="D138" s="30"/>
      <c r="E138" s="29"/>
      <c r="F138" s="30"/>
      <c r="G138" s="29"/>
      <c r="H138" s="11"/>
      <c r="I138" s="38"/>
      <c r="J138" s="38"/>
      <c r="K138" s="38"/>
      <c r="L138" s="38"/>
      <c r="M138" s="38"/>
      <c r="N138" s="38" t="s">
        <v>304</v>
      </c>
      <c r="O138" s="38"/>
      <c r="P138" s="38"/>
      <c r="Q138" s="38"/>
      <c r="R138" s="38"/>
      <c r="S138" s="130"/>
      <c r="T138" s="130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ht="15" hidden="1" customHeight="1">
      <c r="A139" s="31" t="s">
        <v>119</v>
      </c>
      <c r="B139" s="52">
        <f>(0.144645)/1.2*B137*1000</f>
        <v>56.931945964044353</v>
      </c>
      <c r="C139" s="120" t="s">
        <v>187</v>
      </c>
      <c r="D139" s="30"/>
      <c r="E139" s="29"/>
      <c r="F139" s="30"/>
      <c r="G139" s="29"/>
      <c r="H139" s="11"/>
      <c r="I139" s="38"/>
      <c r="J139" s="38"/>
      <c r="K139" s="38"/>
      <c r="L139" s="38"/>
      <c r="M139" s="38"/>
      <c r="N139" s="47" t="s">
        <v>305</v>
      </c>
      <c r="O139" s="45"/>
      <c r="P139" s="38"/>
      <c r="Q139" s="38"/>
      <c r="R139" s="38"/>
      <c r="S139" s="130"/>
      <c r="T139" s="130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ht="15" hidden="1" customHeight="1">
      <c r="A140" s="31" t="s">
        <v>120</v>
      </c>
      <c r="B140" s="52">
        <v>6.91</v>
      </c>
      <c r="C140" s="118" t="s">
        <v>306</v>
      </c>
      <c r="D140" s="30"/>
      <c r="E140" s="29"/>
      <c r="F140" s="30"/>
      <c r="G140" s="29"/>
      <c r="H140" s="11"/>
      <c r="I140" s="38"/>
      <c r="J140" s="38"/>
      <c r="K140" s="38"/>
      <c r="L140" s="38"/>
      <c r="M140" s="38"/>
      <c r="N140" s="45" t="s">
        <v>307</v>
      </c>
      <c r="O140" s="38"/>
      <c r="P140" s="38"/>
      <c r="Q140" s="38"/>
      <c r="R140" s="38"/>
      <c r="S140" s="130"/>
      <c r="T140" s="130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ht="15" hidden="1" customHeight="1">
      <c r="A141" s="31" t="s">
        <v>121</v>
      </c>
      <c r="B141" s="52">
        <f>0.04*1000*B163/12</f>
        <v>43.254844542588764</v>
      </c>
      <c r="C141" s="118" t="s">
        <v>306</v>
      </c>
      <c r="D141" s="30"/>
      <c r="E141" s="29"/>
      <c r="F141" s="30"/>
      <c r="G141" s="29"/>
      <c r="H141" s="11"/>
      <c r="I141" s="38"/>
      <c r="J141" s="38"/>
      <c r="K141" s="45"/>
      <c r="L141" s="38"/>
      <c r="M141" s="116"/>
      <c r="N141" s="45" t="s">
        <v>307</v>
      </c>
      <c r="O141" s="38"/>
      <c r="P141" s="38"/>
      <c r="Q141" s="38"/>
      <c r="R141" s="38"/>
      <c r="S141" s="130"/>
      <c r="T141" s="130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ht="15" hidden="1" customHeight="1">
      <c r="A142" s="31" t="s">
        <v>122</v>
      </c>
      <c r="B142" s="60">
        <v>975</v>
      </c>
      <c r="C142" s="120" t="s">
        <v>184</v>
      </c>
      <c r="D142" s="30"/>
      <c r="E142" s="29"/>
      <c r="F142" s="128" t="s">
        <v>185</v>
      </c>
      <c r="G142" s="29"/>
      <c r="H142" s="11"/>
      <c r="I142" s="116"/>
      <c r="J142" s="116" t="s">
        <v>186</v>
      </c>
      <c r="K142" s="45"/>
      <c r="L142" s="45"/>
      <c r="M142" s="38"/>
      <c r="N142" s="38"/>
      <c r="O142" s="38"/>
      <c r="P142" s="38"/>
      <c r="Q142" s="38"/>
      <c r="R142" s="38"/>
      <c r="S142" s="130"/>
      <c r="T142" s="130"/>
      <c r="U142" s="116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ht="15" hidden="1" customHeight="1">
      <c r="A143" s="31" t="s">
        <v>123</v>
      </c>
      <c r="B143" s="60">
        <v>110</v>
      </c>
      <c r="C143" s="120" t="s">
        <v>175</v>
      </c>
      <c r="D143" s="30"/>
      <c r="E143" s="29"/>
      <c r="F143" s="30"/>
      <c r="G143" s="29"/>
      <c r="H143" s="11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30"/>
      <c r="T143" s="130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ht="15" hidden="1" customHeight="1">
      <c r="A144" s="31" t="s">
        <v>124</v>
      </c>
      <c r="B144" s="60">
        <v>79.373999999999995</v>
      </c>
      <c r="C144" s="118" t="s">
        <v>131</v>
      </c>
      <c r="D144" s="44"/>
      <c r="E144" s="33"/>
      <c r="F144" s="30"/>
      <c r="G144" s="29"/>
      <c r="H144" s="11"/>
      <c r="I144" s="38"/>
      <c r="J144" s="127" t="s">
        <v>212</v>
      </c>
      <c r="K144" s="38"/>
      <c r="L144" s="38"/>
      <c r="M144" s="38"/>
      <c r="N144" s="45" t="s">
        <v>243</v>
      </c>
      <c r="O144" s="38"/>
      <c r="P144" s="38"/>
      <c r="Q144" s="38"/>
      <c r="R144" s="38"/>
      <c r="S144" s="130"/>
      <c r="T144" s="130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ht="15" hidden="1" customHeight="1">
      <c r="A145" s="49" t="s">
        <v>239</v>
      </c>
      <c r="B145" s="52">
        <v>50</v>
      </c>
      <c r="C145" s="120" t="s">
        <v>164</v>
      </c>
      <c r="D145" s="128"/>
      <c r="E145" s="29"/>
      <c r="F145" s="30"/>
      <c r="G145" s="29"/>
      <c r="H145" s="11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30"/>
      <c r="T145" s="130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ht="15" hidden="1" customHeight="1">
      <c r="A146" s="31" t="s">
        <v>125</v>
      </c>
      <c r="B146" s="60">
        <v>90.311999999999998</v>
      </c>
      <c r="C146" s="118" t="s">
        <v>308</v>
      </c>
      <c r="D146" s="30"/>
      <c r="E146" s="29"/>
      <c r="F146" s="30"/>
      <c r="G146" s="29"/>
      <c r="H146" s="11"/>
      <c r="I146" s="38"/>
      <c r="J146" s="38"/>
      <c r="K146" s="38"/>
      <c r="L146" s="38"/>
      <c r="M146" s="38"/>
      <c r="N146" s="45" t="s">
        <v>309</v>
      </c>
      <c r="O146" s="38"/>
      <c r="P146" s="38"/>
      <c r="Q146" s="38"/>
      <c r="R146" s="38"/>
      <c r="S146" s="47"/>
      <c r="T146" s="130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ht="15" hidden="1" customHeight="1">
      <c r="A147" s="31" t="s">
        <v>126</v>
      </c>
      <c r="B147" s="52">
        <v>197318.8</v>
      </c>
      <c r="C147" s="131" t="s">
        <v>310</v>
      </c>
      <c r="D147" s="30"/>
      <c r="E147" s="29"/>
      <c r="F147" s="30"/>
      <c r="G147" s="29"/>
      <c r="H147" s="11"/>
      <c r="I147" s="38"/>
      <c r="J147" s="38"/>
      <c r="K147" s="38"/>
      <c r="L147" s="38"/>
      <c r="M147" s="38"/>
      <c r="N147" s="45" t="s">
        <v>174</v>
      </c>
      <c r="O147" s="47"/>
      <c r="P147" s="38"/>
      <c r="Q147" s="38"/>
      <c r="R147" s="38"/>
      <c r="S147" s="130"/>
      <c r="T147" s="130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ht="15" hidden="1" customHeight="1">
      <c r="A148" s="31" t="s">
        <v>127</v>
      </c>
      <c r="B148" s="52">
        <v>43987.675000000003</v>
      </c>
      <c r="C148" s="118" t="s">
        <v>290</v>
      </c>
      <c r="D148" s="30"/>
      <c r="E148" s="29"/>
      <c r="F148" s="30"/>
      <c r="G148" s="29"/>
      <c r="H148" s="11"/>
      <c r="I148" s="38"/>
      <c r="J148" s="38"/>
      <c r="K148" s="47"/>
      <c r="L148" s="38"/>
      <c r="M148" s="38"/>
      <c r="N148" s="45" t="s">
        <v>291</v>
      </c>
      <c r="O148" s="47"/>
      <c r="P148" s="38"/>
      <c r="Q148" s="38"/>
      <c r="R148" s="38"/>
      <c r="S148" s="130"/>
      <c r="T148" s="130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ht="15" hidden="1" customHeight="1">
      <c r="A149" s="31" t="s">
        <v>128</v>
      </c>
      <c r="B149" s="52">
        <v>141.14699999999999</v>
      </c>
      <c r="C149" s="118" t="s">
        <v>290</v>
      </c>
      <c r="D149" s="30"/>
      <c r="E149" s="29"/>
      <c r="F149" s="30"/>
      <c r="G149" s="29"/>
      <c r="H149" s="11"/>
      <c r="I149" s="38"/>
      <c r="J149" s="38"/>
      <c r="K149" s="38"/>
      <c r="L149" s="38"/>
      <c r="M149" s="38"/>
      <c r="N149" s="45" t="s">
        <v>291</v>
      </c>
      <c r="O149" s="47"/>
      <c r="P149" s="38"/>
      <c r="Q149" s="38"/>
      <c r="R149" s="38"/>
      <c r="S149" s="130"/>
      <c r="T149" s="130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ht="15" hidden="1" customHeight="1">
      <c r="A150" s="31" t="s">
        <v>129</v>
      </c>
      <c r="B150" s="60">
        <v>218.453</v>
      </c>
      <c r="C150" s="118" t="s">
        <v>131</v>
      </c>
      <c r="D150" s="30"/>
      <c r="E150" s="29"/>
      <c r="F150" s="30"/>
      <c r="G150" s="29"/>
      <c r="H150" s="11"/>
      <c r="I150" s="38"/>
      <c r="J150" s="118"/>
      <c r="K150" s="38"/>
      <c r="L150" s="38"/>
      <c r="M150" s="38"/>
      <c r="N150" s="45" t="s">
        <v>243</v>
      </c>
      <c r="O150" s="38"/>
      <c r="P150" s="38"/>
      <c r="Q150" s="38"/>
      <c r="R150" s="38"/>
      <c r="S150" s="130"/>
      <c r="T150" s="130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ht="15" hidden="1" customHeight="1">
      <c r="A151" s="31" t="s">
        <v>130</v>
      </c>
      <c r="B151" s="60">
        <v>109.468</v>
      </c>
      <c r="C151" s="118" t="s">
        <v>131</v>
      </c>
      <c r="D151" s="30"/>
      <c r="E151" s="29"/>
      <c r="F151" s="30"/>
      <c r="G151" s="29"/>
      <c r="H151" s="11"/>
      <c r="I151" s="38"/>
      <c r="J151" s="38"/>
      <c r="K151" s="38"/>
      <c r="L151" s="38"/>
      <c r="M151" s="38"/>
      <c r="N151" s="45" t="s">
        <v>243</v>
      </c>
      <c r="O151" s="38"/>
      <c r="P151" s="38"/>
      <c r="Q151" s="38"/>
      <c r="R151" s="38"/>
      <c r="S151" s="130"/>
      <c r="T151" s="130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ht="15" hidden="1" customHeight="1">
      <c r="A152" s="31" t="s">
        <v>132</v>
      </c>
      <c r="B152" s="61">
        <v>0.54159999999999997</v>
      </c>
      <c r="C152" s="118" t="s">
        <v>131</v>
      </c>
      <c r="D152" s="30"/>
      <c r="E152" s="29"/>
      <c r="F152" s="30"/>
      <c r="G152" s="29"/>
      <c r="H152" s="11"/>
      <c r="I152" s="38"/>
      <c r="J152" s="127" t="s">
        <v>212</v>
      </c>
      <c r="K152" s="38"/>
      <c r="L152" s="38"/>
      <c r="M152" s="38"/>
      <c r="N152" s="45" t="s">
        <v>208</v>
      </c>
      <c r="O152" s="123" t="s">
        <v>229</v>
      </c>
      <c r="P152" s="38"/>
      <c r="Q152" s="38"/>
      <c r="R152" s="38"/>
      <c r="S152" s="130"/>
      <c r="T152" s="130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  <row r="153" spans="1:31" ht="15" hidden="1" customHeight="1">
      <c r="A153" s="31" t="s">
        <v>133</v>
      </c>
      <c r="B153" s="52">
        <v>2349.56</v>
      </c>
      <c r="C153" s="118" t="s">
        <v>290</v>
      </c>
      <c r="D153" s="30"/>
      <c r="E153" s="29"/>
      <c r="F153" s="30"/>
      <c r="G153" s="29"/>
      <c r="H153" s="11"/>
      <c r="I153" s="38"/>
      <c r="J153" s="38"/>
      <c r="K153" s="38"/>
      <c r="L153" s="38"/>
      <c r="M153" s="38"/>
      <c r="N153" s="45" t="s">
        <v>291</v>
      </c>
      <c r="O153" s="38"/>
      <c r="P153" s="38"/>
      <c r="Q153" s="38"/>
      <c r="R153" s="38"/>
      <c r="S153" s="130"/>
      <c r="T153" s="130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  <row r="154" spans="1:31" ht="15" hidden="1" customHeight="1">
      <c r="A154" s="31" t="s">
        <v>134</v>
      </c>
      <c r="B154" s="52">
        <v>52.631</v>
      </c>
      <c r="C154" s="118" t="s">
        <v>290</v>
      </c>
      <c r="D154" s="30"/>
      <c r="E154" s="29"/>
      <c r="F154" s="30"/>
      <c r="G154" s="29"/>
      <c r="H154" s="11"/>
      <c r="I154" s="38"/>
      <c r="J154" s="38"/>
      <c r="K154" s="38"/>
      <c r="L154" s="38"/>
      <c r="M154" s="38"/>
      <c r="N154" s="45" t="s">
        <v>291</v>
      </c>
      <c r="O154" s="38"/>
      <c r="P154" s="38"/>
      <c r="Q154" s="38"/>
      <c r="R154" s="38"/>
      <c r="S154" s="130"/>
      <c r="T154" s="130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  <row r="155" spans="1:31" ht="15" hidden="1" customHeight="1">
      <c r="A155" s="31" t="s">
        <v>135</v>
      </c>
      <c r="B155" s="52">
        <v>352.24</v>
      </c>
      <c r="C155" s="118" t="s">
        <v>233</v>
      </c>
      <c r="D155" s="30"/>
      <c r="E155" s="29"/>
      <c r="F155" s="30"/>
      <c r="G155" s="29"/>
      <c r="H155" s="11"/>
      <c r="I155" s="38"/>
      <c r="J155" s="38"/>
      <c r="K155" s="38"/>
      <c r="L155" s="38"/>
      <c r="M155" s="38"/>
      <c r="N155" s="45" t="s">
        <v>234</v>
      </c>
      <c r="O155" s="38"/>
      <c r="P155" s="38"/>
      <c r="Q155" s="38"/>
      <c r="R155" s="38"/>
      <c r="S155" s="130"/>
      <c r="T155" s="130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  <row r="156" spans="1:31" ht="15" hidden="1" customHeight="1">
      <c r="A156" s="31" t="s">
        <v>136</v>
      </c>
      <c r="B156" s="52">
        <v>225.3</v>
      </c>
      <c r="C156" s="118" t="s">
        <v>60</v>
      </c>
      <c r="D156" s="30"/>
      <c r="E156" s="29"/>
      <c r="F156" s="30"/>
      <c r="G156" s="29"/>
      <c r="H156" s="11"/>
      <c r="I156" s="38"/>
      <c r="J156" s="38"/>
      <c r="K156" s="38"/>
      <c r="L156" s="38"/>
      <c r="M156" s="38"/>
      <c r="N156" s="45" t="s">
        <v>174</v>
      </c>
      <c r="O156" s="38"/>
      <c r="P156" s="38"/>
      <c r="Q156" s="38"/>
      <c r="R156" s="38"/>
      <c r="S156" s="130"/>
      <c r="T156" s="130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  <row r="157" spans="1:31" ht="15" hidden="1" customHeight="1">
      <c r="A157" s="31" t="s">
        <v>137</v>
      </c>
      <c r="B157" s="52">
        <v>56.747999999999998</v>
      </c>
      <c r="C157" s="42" t="s">
        <v>169</v>
      </c>
      <c r="D157" s="30"/>
      <c r="E157" s="29"/>
      <c r="F157" s="30"/>
      <c r="G157" s="29"/>
      <c r="H157" s="11"/>
      <c r="I157" s="38"/>
      <c r="J157" s="38"/>
      <c r="K157" s="38"/>
      <c r="L157" s="38"/>
      <c r="M157" s="38"/>
      <c r="N157" s="38" t="s">
        <v>170</v>
      </c>
      <c r="O157" s="38"/>
      <c r="P157" s="38"/>
      <c r="Q157" s="38"/>
      <c r="R157" s="38"/>
      <c r="S157" s="38" t="s">
        <v>196</v>
      </c>
    </row>
    <row r="158" spans="1:31" ht="15" hidden="1" customHeight="1">
      <c r="A158" s="31" t="s">
        <v>138</v>
      </c>
      <c r="B158" s="52">
        <v>0.61373425999999998</v>
      </c>
      <c r="C158" s="118" t="s">
        <v>311</v>
      </c>
      <c r="D158" s="30"/>
      <c r="E158" s="29"/>
      <c r="F158" s="30"/>
      <c r="G158" s="29"/>
      <c r="H158" s="11"/>
      <c r="I158" s="38"/>
      <c r="J158" s="127" t="s">
        <v>312</v>
      </c>
      <c r="K158" s="47"/>
      <c r="L158" s="38"/>
      <c r="M158" s="38"/>
      <c r="N158" s="45" t="s">
        <v>313</v>
      </c>
      <c r="O158" s="47"/>
      <c r="P158" s="38"/>
      <c r="Q158" s="38"/>
      <c r="R158" s="38"/>
      <c r="S158" s="47"/>
      <c r="T158" s="130"/>
    </row>
    <row r="159" spans="1:31" ht="15" hidden="1" customHeight="1">
      <c r="A159" s="31" t="s">
        <v>139</v>
      </c>
      <c r="B159" s="60">
        <v>5.4959910000000001E-2</v>
      </c>
      <c r="C159" s="118" t="s">
        <v>235</v>
      </c>
      <c r="D159" s="30"/>
      <c r="E159" s="29"/>
      <c r="F159" s="30"/>
      <c r="G159" s="29"/>
      <c r="H159" s="11"/>
      <c r="I159" s="38"/>
      <c r="J159" s="127" t="s">
        <v>209</v>
      </c>
      <c r="K159" s="47"/>
      <c r="L159" s="38"/>
      <c r="M159" s="38"/>
      <c r="N159" s="45" t="s">
        <v>210</v>
      </c>
      <c r="O159" s="123" t="s">
        <v>314</v>
      </c>
      <c r="P159" s="38"/>
      <c r="Q159" s="38"/>
      <c r="R159" s="38"/>
      <c r="S159" s="47"/>
      <c r="T159" s="130"/>
    </row>
    <row r="160" spans="1:31" ht="15" hidden="1" customHeight="1">
      <c r="A160" s="31" t="s">
        <v>140</v>
      </c>
      <c r="B160" s="52">
        <v>0.66827099999999995</v>
      </c>
      <c r="C160" s="118" t="s">
        <v>315</v>
      </c>
      <c r="D160" s="30"/>
      <c r="E160" s="29"/>
      <c r="F160" s="30"/>
      <c r="G160" s="29"/>
      <c r="H160" s="11"/>
      <c r="I160" s="38"/>
      <c r="J160" s="127" t="s">
        <v>211</v>
      </c>
      <c r="K160" s="38"/>
      <c r="L160" s="38"/>
      <c r="M160" s="38"/>
      <c r="N160" s="45" t="s">
        <v>316</v>
      </c>
      <c r="O160" s="38"/>
      <c r="P160" s="38"/>
      <c r="Q160" s="38"/>
      <c r="R160" s="38"/>
      <c r="S160" s="130"/>
      <c r="T160" s="130"/>
    </row>
    <row r="161" spans="1:20" ht="15" hidden="1" customHeight="1">
      <c r="A161" s="31" t="s">
        <v>141</v>
      </c>
      <c r="B161" s="60">
        <v>0.20253291000000001</v>
      </c>
      <c r="C161" s="118" t="s">
        <v>213</v>
      </c>
      <c r="D161" s="30"/>
      <c r="E161" s="29"/>
      <c r="F161" s="30"/>
      <c r="G161" s="29"/>
      <c r="H161" s="11"/>
      <c r="I161" s="38"/>
      <c r="J161" s="127" t="s">
        <v>142</v>
      </c>
      <c r="K161" s="38"/>
      <c r="L161" s="38"/>
      <c r="M161" s="38"/>
      <c r="N161" s="45" t="s">
        <v>214</v>
      </c>
      <c r="O161" s="38"/>
      <c r="P161" s="38"/>
      <c r="Q161" s="38"/>
      <c r="R161" s="38"/>
      <c r="S161" s="130"/>
      <c r="T161" s="130"/>
    </row>
    <row r="162" spans="1:20" ht="15" hidden="1" customHeight="1">
      <c r="A162" s="31" t="s">
        <v>143</v>
      </c>
      <c r="B162" s="52">
        <v>13.7439923</v>
      </c>
      <c r="C162" s="120" t="s">
        <v>311</v>
      </c>
      <c r="D162" s="30"/>
      <c r="E162" s="29"/>
      <c r="F162" s="30"/>
      <c r="G162" s="29"/>
      <c r="H162" s="11"/>
      <c r="I162" s="38"/>
      <c r="J162" s="127" t="s">
        <v>312</v>
      </c>
      <c r="K162" s="38"/>
      <c r="L162" s="38"/>
      <c r="M162" s="38"/>
      <c r="N162" s="45" t="s">
        <v>313</v>
      </c>
      <c r="O162" s="38"/>
      <c r="P162" s="38"/>
      <c r="Q162" s="38"/>
      <c r="R162" s="38"/>
      <c r="S162" s="130"/>
      <c r="T162" s="130"/>
    </row>
    <row r="163" spans="1:20" ht="15" hidden="1" customHeight="1">
      <c r="A163" s="31" t="s">
        <v>144</v>
      </c>
      <c r="B163" s="60">
        <f>51.9*1000000/((B110+B111+B112)*1000000)</f>
        <v>12.976453362776631</v>
      </c>
      <c r="C163" s="58">
        <v>8.4</v>
      </c>
      <c r="D163" s="29"/>
      <c r="E163" s="132"/>
      <c r="F163" s="30"/>
      <c r="G163" s="29"/>
      <c r="H163" s="11"/>
      <c r="I163" s="38"/>
      <c r="J163" s="127" t="s">
        <v>215</v>
      </c>
      <c r="K163" s="38"/>
      <c r="L163" s="38"/>
      <c r="M163" s="38"/>
      <c r="N163" s="45" t="s">
        <v>236</v>
      </c>
      <c r="O163" s="45"/>
      <c r="P163" s="38"/>
      <c r="Q163" s="38"/>
      <c r="R163" s="38"/>
      <c r="S163" s="130"/>
      <c r="T163" s="130"/>
    </row>
    <row r="164" spans="1:20" ht="15" hidden="1" customHeight="1">
      <c r="A164" s="31" t="s">
        <v>145</v>
      </c>
      <c r="B164" s="52">
        <v>9.5039269999999991</v>
      </c>
      <c r="C164" s="118" t="s">
        <v>173</v>
      </c>
      <c r="D164" s="30"/>
      <c r="E164" s="29"/>
      <c r="F164" s="30"/>
      <c r="G164" s="29"/>
      <c r="H164" s="11"/>
      <c r="I164" s="38"/>
      <c r="J164" s="38"/>
      <c r="K164" s="38"/>
      <c r="L164" s="38"/>
      <c r="M164" s="38"/>
      <c r="N164" s="38" t="s">
        <v>172</v>
      </c>
      <c r="O164" s="38"/>
      <c r="P164" s="38"/>
      <c r="Q164" s="38"/>
      <c r="R164" s="38"/>
      <c r="S164" s="130"/>
      <c r="T164" s="130"/>
    </row>
    <row r="165" spans="1:20" ht="15" hidden="1" customHeight="1">
      <c r="A165" s="31" t="s">
        <v>146</v>
      </c>
      <c r="B165" s="52">
        <v>2.806438</v>
      </c>
      <c r="C165" s="118" t="s">
        <v>171</v>
      </c>
      <c r="D165" s="30"/>
      <c r="E165" s="29"/>
      <c r="F165" s="30"/>
      <c r="G165" s="29"/>
      <c r="H165" s="11"/>
      <c r="I165" s="38"/>
      <c r="J165" s="38"/>
      <c r="K165" s="38"/>
      <c r="L165" s="38"/>
      <c r="M165" s="38"/>
      <c r="N165" s="38" t="s">
        <v>172</v>
      </c>
      <c r="O165" s="38"/>
      <c r="P165" s="38"/>
      <c r="Q165" s="38"/>
      <c r="R165" s="38"/>
      <c r="S165" s="130"/>
      <c r="T165" s="130"/>
    </row>
    <row r="166" spans="1:20" ht="15" hidden="1" customHeight="1">
      <c r="A166" s="31" t="s">
        <v>147</v>
      </c>
      <c r="B166" s="52">
        <v>1.69594</v>
      </c>
      <c r="C166" s="118" t="s">
        <v>317</v>
      </c>
      <c r="D166" s="30"/>
      <c r="E166" s="29"/>
      <c r="F166" s="30"/>
      <c r="G166" s="29"/>
      <c r="H166" s="11"/>
      <c r="I166" s="38"/>
      <c r="J166" s="127" t="s">
        <v>318</v>
      </c>
      <c r="K166" s="45"/>
      <c r="L166" s="38"/>
      <c r="M166" s="38"/>
      <c r="N166" s="38"/>
      <c r="O166" s="133"/>
      <c r="P166" s="38"/>
      <c r="Q166" s="38"/>
      <c r="R166" s="38"/>
      <c r="S166" s="130"/>
      <c r="T166" s="130"/>
    </row>
    <row r="167" spans="1:20" ht="15" hidden="1" customHeight="1">
      <c r="A167" s="31" t="s">
        <v>148</v>
      </c>
      <c r="B167" s="52">
        <v>30.467606</v>
      </c>
      <c r="C167" s="118" t="s">
        <v>165</v>
      </c>
      <c r="D167" s="30"/>
      <c r="E167" s="29"/>
      <c r="F167" s="30"/>
      <c r="G167" s="29"/>
      <c r="H167" s="11"/>
      <c r="I167" s="38"/>
      <c r="J167" s="38"/>
      <c r="K167" s="38"/>
      <c r="L167" s="38"/>
      <c r="M167" s="38"/>
      <c r="N167" s="38" t="s">
        <v>172</v>
      </c>
      <c r="O167" s="38"/>
      <c r="P167" s="38"/>
      <c r="Q167" s="38"/>
      <c r="R167" s="38"/>
      <c r="S167" s="47"/>
      <c r="T167" s="130"/>
    </row>
    <row r="168" spans="1:20" ht="15" hidden="1" customHeight="1">
      <c r="A168" s="31" t="s">
        <v>149</v>
      </c>
      <c r="B168" s="52">
        <v>11.819241</v>
      </c>
      <c r="C168" s="118" t="s">
        <v>150</v>
      </c>
      <c r="D168" s="30"/>
      <c r="E168" s="29"/>
      <c r="F168" s="30"/>
      <c r="G168" s="29"/>
      <c r="H168" s="11"/>
      <c r="I168" s="38"/>
      <c r="J168" s="38"/>
      <c r="K168" s="45"/>
      <c r="L168" s="38"/>
      <c r="M168" s="38"/>
      <c r="N168" s="38" t="s">
        <v>172</v>
      </c>
      <c r="O168" s="38"/>
      <c r="P168" s="38"/>
      <c r="Q168" s="38"/>
      <c r="R168" s="38"/>
      <c r="S168" s="130"/>
      <c r="T168" s="130"/>
    </row>
    <row r="169" spans="1:20" ht="15" hidden="1" customHeight="1">
      <c r="A169" s="31" t="s">
        <v>151</v>
      </c>
      <c r="B169" s="52">
        <v>2.3801269999999999</v>
      </c>
      <c r="C169" s="118" t="s">
        <v>166</v>
      </c>
      <c r="D169" s="30"/>
      <c r="E169" s="29"/>
      <c r="F169" s="30"/>
      <c r="G169" s="29"/>
      <c r="H169" s="11"/>
      <c r="I169" s="38"/>
      <c r="J169" s="38"/>
      <c r="K169" s="45"/>
      <c r="L169" s="38"/>
      <c r="M169" s="38"/>
      <c r="N169" s="38" t="s">
        <v>172</v>
      </c>
      <c r="O169" s="38"/>
      <c r="P169" s="38"/>
      <c r="Q169" s="38"/>
      <c r="R169" s="38"/>
      <c r="S169" s="130"/>
      <c r="T169" s="130"/>
    </row>
    <row r="170" spans="1:20" ht="15" hidden="1" customHeight="1">
      <c r="A170" s="31" t="s">
        <v>216</v>
      </c>
      <c r="B170" s="52">
        <v>7.1100199999999996</v>
      </c>
      <c r="C170" s="118" t="s">
        <v>217</v>
      </c>
      <c r="D170" s="30"/>
      <c r="E170" s="29"/>
      <c r="F170" s="30"/>
      <c r="G170" s="29"/>
      <c r="H170" s="11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47"/>
      <c r="T170" s="130"/>
    </row>
    <row r="171" spans="1:20" ht="15" hidden="1" customHeight="1">
      <c r="A171" s="31" t="s">
        <v>152</v>
      </c>
      <c r="B171" s="52">
        <v>1.4903630000000001</v>
      </c>
      <c r="C171" s="118" t="s">
        <v>167</v>
      </c>
      <c r="D171" s="30"/>
      <c r="E171" s="29"/>
      <c r="F171" s="30"/>
      <c r="G171" s="29"/>
      <c r="H171" s="11"/>
      <c r="I171" s="38"/>
      <c r="J171" s="38"/>
      <c r="K171" s="45"/>
      <c r="L171" s="38"/>
      <c r="M171" s="38"/>
      <c r="N171" s="38" t="s">
        <v>172</v>
      </c>
      <c r="O171" s="38"/>
      <c r="P171" s="38"/>
      <c r="Q171" s="38"/>
      <c r="R171" s="38"/>
      <c r="S171" s="130"/>
      <c r="T171" s="130"/>
    </row>
    <row r="172" spans="1:20" ht="15" hidden="1" customHeight="1">
      <c r="A172" s="31" t="s">
        <v>168</v>
      </c>
      <c r="B172" s="52">
        <v>7.2311300000000003</v>
      </c>
      <c r="C172" s="118" t="s">
        <v>319</v>
      </c>
      <c r="D172" s="30"/>
      <c r="E172" s="29"/>
      <c r="F172" s="30"/>
      <c r="G172" s="29"/>
      <c r="H172" s="11"/>
      <c r="I172" s="38"/>
      <c r="J172" s="117"/>
      <c r="K172" s="45"/>
      <c r="L172" s="38"/>
      <c r="M172" s="38"/>
      <c r="N172" s="38"/>
      <c r="O172" s="133"/>
      <c r="P172" s="38"/>
      <c r="Q172" s="38"/>
      <c r="R172" s="38"/>
      <c r="S172" s="47"/>
      <c r="T172" s="130"/>
    </row>
    <row r="173" spans="1:20" ht="15" hidden="1" customHeight="1">
      <c r="A173" s="31" t="s">
        <v>153</v>
      </c>
      <c r="B173" s="52">
        <v>5</v>
      </c>
      <c r="C173" s="29"/>
      <c r="D173" s="30"/>
      <c r="E173" s="29"/>
      <c r="F173" s="30"/>
      <c r="G173" s="29"/>
      <c r="H173" s="11"/>
      <c r="I173" s="38"/>
      <c r="J173" s="38"/>
      <c r="K173" s="45"/>
      <c r="L173" s="38"/>
      <c r="M173" s="38"/>
      <c r="N173" s="38" t="s">
        <v>189</v>
      </c>
      <c r="O173" s="38"/>
      <c r="P173" s="38"/>
      <c r="Q173" s="38"/>
      <c r="R173" s="38"/>
      <c r="S173" s="130"/>
      <c r="T173" s="130"/>
    </row>
    <row r="174" spans="1:20" ht="15" hidden="1" customHeight="1">
      <c r="A174" s="31" t="s">
        <v>154</v>
      </c>
      <c r="B174" s="52">
        <v>19.904</v>
      </c>
      <c r="C174" s="121" t="s">
        <v>290</v>
      </c>
      <c r="D174" s="30"/>
      <c r="E174" s="29"/>
      <c r="F174" s="30"/>
      <c r="G174" s="29"/>
      <c r="H174" s="11"/>
      <c r="I174" s="38"/>
      <c r="J174" s="38"/>
      <c r="K174" s="38"/>
      <c r="L174" s="38"/>
      <c r="M174" s="38"/>
      <c r="N174" s="45" t="s">
        <v>291</v>
      </c>
      <c r="O174" s="38"/>
      <c r="P174" s="38"/>
      <c r="Q174" s="38"/>
      <c r="R174" s="38"/>
      <c r="S174" s="130"/>
      <c r="T174" s="130"/>
    </row>
    <row r="175" spans="1:20" ht="15" hidden="1" customHeight="1">
      <c r="A175" s="31" t="s">
        <v>155</v>
      </c>
      <c r="B175" s="52">
        <v>56.747999999999998</v>
      </c>
      <c r="C175" s="118" t="s">
        <v>290</v>
      </c>
      <c r="D175" s="30"/>
      <c r="E175" s="29"/>
      <c r="F175" s="30"/>
      <c r="G175" s="29"/>
      <c r="H175" s="11"/>
      <c r="I175" s="38"/>
      <c r="J175" s="38"/>
      <c r="K175" s="38"/>
      <c r="L175" s="38"/>
      <c r="M175" s="38"/>
      <c r="N175" s="45" t="s">
        <v>320</v>
      </c>
      <c r="O175" s="38"/>
      <c r="P175" s="38"/>
      <c r="Q175" s="38"/>
      <c r="R175" s="38"/>
      <c r="S175" s="130"/>
      <c r="T175" s="130"/>
    </row>
    <row r="176" spans="1:20" ht="15" hidden="1" customHeight="1">
      <c r="A176" s="31" t="s">
        <v>156</v>
      </c>
      <c r="B176" s="62">
        <f>20%*(0.824772029+47%*0.175227971)+10%*0.175227971*53%</f>
        <v>0.19071291753700001</v>
      </c>
      <c r="C176" s="118" t="s">
        <v>183</v>
      </c>
      <c r="D176" s="30"/>
      <c r="E176" s="29"/>
      <c r="F176" s="30"/>
      <c r="G176" s="29"/>
      <c r="H176" s="11"/>
      <c r="I176" s="38"/>
      <c r="J176" s="127" t="s">
        <v>321</v>
      </c>
      <c r="K176" s="38"/>
      <c r="L176" s="38"/>
      <c r="M176" s="38"/>
      <c r="N176" s="56" t="s">
        <v>224</v>
      </c>
      <c r="O176" s="38"/>
      <c r="P176" s="38"/>
      <c r="Q176" s="38"/>
      <c r="R176" s="38"/>
      <c r="S176" s="130"/>
      <c r="T176" s="130"/>
    </row>
    <row r="177" spans="1:20" ht="15" hidden="1" customHeight="1">
      <c r="A177" s="31" t="s">
        <v>157</v>
      </c>
      <c r="B177" s="52">
        <v>72.900000000000006</v>
      </c>
      <c r="C177" s="118" t="s">
        <v>322</v>
      </c>
      <c r="D177" s="44"/>
      <c r="E177" s="29"/>
      <c r="F177" s="30"/>
      <c r="G177" s="29"/>
      <c r="H177" s="11"/>
      <c r="I177" s="38"/>
      <c r="J177" s="38"/>
      <c r="K177" s="38"/>
      <c r="L177" s="38"/>
      <c r="M177" s="38"/>
      <c r="N177" s="44"/>
      <c r="O177" s="38"/>
      <c r="P177" s="38"/>
      <c r="Q177" s="38"/>
      <c r="R177" s="38"/>
      <c r="S177" s="130"/>
      <c r="T177" s="130"/>
    </row>
    <row r="178" spans="1:20" ht="15" hidden="1" customHeight="1">
      <c r="A178" s="31" t="s">
        <v>158</v>
      </c>
      <c r="B178" s="52">
        <v>8.9</v>
      </c>
      <c r="C178" s="118" t="s">
        <v>322</v>
      </c>
      <c r="D178" s="44"/>
      <c r="E178" s="29"/>
      <c r="F178" s="30"/>
      <c r="G178" s="29"/>
      <c r="H178" s="11"/>
      <c r="I178" s="38"/>
      <c r="J178" s="38"/>
      <c r="K178" s="38"/>
      <c r="L178" s="38"/>
      <c r="M178" s="38"/>
      <c r="N178" s="44"/>
      <c r="O178" s="38"/>
      <c r="P178" s="38"/>
      <c r="Q178" s="38"/>
      <c r="R178" s="38"/>
      <c r="S178" s="130"/>
      <c r="T178" s="130"/>
    </row>
    <row r="179" spans="1:20" ht="15" hidden="1" customHeight="1">
      <c r="A179" s="31" t="s">
        <v>159</v>
      </c>
      <c r="B179" s="114">
        <f>7038/B119</f>
        <v>1288.9788825772837</v>
      </c>
      <c r="C179" s="118" t="s">
        <v>222</v>
      </c>
      <c r="D179" s="30"/>
      <c r="E179" s="29"/>
      <c r="F179" s="30"/>
      <c r="G179" s="29"/>
      <c r="H179" s="11"/>
      <c r="I179" s="38"/>
      <c r="J179" s="38"/>
      <c r="K179" s="38"/>
      <c r="L179" s="38"/>
      <c r="M179" s="38"/>
      <c r="N179" s="45" t="s">
        <v>237</v>
      </c>
      <c r="O179" s="38"/>
      <c r="P179" s="38"/>
      <c r="Q179" s="38"/>
      <c r="R179" s="38"/>
      <c r="S179" s="130"/>
      <c r="T179" s="130"/>
    </row>
    <row r="180" spans="1:20" ht="15" hidden="1" customHeight="1">
      <c r="A180" s="31" t="s">
        <v>24</v>
      </c>
      <c r="B180" s="41">
        <v>15.971145</v>
      </c>
      <c r="C180" s="118" t="s">
        <v>323</v>
      </c>
      <c r="D180" s="30"/>
      <c r="E180" s="29"/>
      <c r="F180" s="30"/>
      <c r="G180" s="29"/>
      <c r="H180" s="11"/>
      <c r="I180" s="38"/>
      <c r="J180" s="38"/>
      <c r="K180" s="45"/>
      <c r="L180" s="38"/>
      <c r="M180" s="38"/>
      <c r="N180" s="45" t="s">
        <v>324</v>
      </c>
      <c r="O180" s="38"/>
      <c r="P180" s="38"/>
      <c r="Q180" s="38"/>
      <c r="R180" s="38"/>
      <c r="S180" s="38"/>
      <c r="T180" s="38"/>
    </row>
    <row r="181" spans="1:20" ht="15" hidden="1" customHeight="1">
      <c r="A181" s="31" t="s">
        <v>25</v>
      </c>
      <c r="B181" s="52">
        <v>0</v>
      </c>
      <c r="C181" s="134" t="s">
        <v>190</v>
      </c>
      <c r="D181" s="35"/>
      <c r="E181" s="36"/>
      <c r="F181" s="35"/>
      <c r="G181" s="36"/>
      <c r="H181" s="37"/>
      <c r="I181" s="38"/>
      <c r="J181" s="38"/>
      <c r="K181" s="38"/>
      <c r="L181" s="38"/>
      <c r="M181" s="38"/>
      <c r="N181" s="38" t="s">
        <v>325</v>
      </c>
      <c r="O181" s="38"/>
      <c r="P181" s="38"/>
      <c r="Q181" s="38"/>
      <c r="R181" s="38"/>
      <c r="S181" s="38"/>
      <c r="T181" s="38"/>
    </row>
    <row r="182" spans="1:20" ht="15" hidden="1" customHeight="1">
      <c r="A182" s="31" t="s">
        <v>200</v>
      </c>
      <c r="B182" s="52">
        <f>120.982+148.95+225.575+198.76</f>
        <v>694.26700000000005</v>
      </c>
      <c r="C182" s="118" t="s">
        <v>169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45" t="s">
        <v>291</v>
      </c>
      <c r="O182" s="38"/>
      <c r="P182" s="38"/>
      <c r="Q182" s="38"/>
      <c r="R182" s="38"/>
      <c r="S182" s="38"/>
      <c r="T182" s="38"/>
    </row>
    <row r="183" spans="1:20" ht="15" hidden="1" customHeight="1">
      <c r="A183" s="31" t="s">
        <v>225</v>
      </c>
      <c r="B183" s="52">
        <v>60.873950999999998</v>
      </c>
      <c r="C183" s="118" t="s">
        <v>323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45" t="s">
        <v>324</v>
      </c>
      <c r="O183" s="38"/>
      <c r="P183" s="38"/>
      <c r="Q183" s="38"/>
      <c r="R183" s="38"/>
      <c r="S183" s="38"/>
      <c r="T183" s="38"/>
    </row>
    <row r="184" spans="1:20" ht="15" hidden="1" customHeight="1">
      <c r="A184" s="31" t="s">
        <v>249</v>
      </c>
      <c r="B184" s="115">
        <v>0</v>
      </c>
      <c r="C184" s="116" t="s">
        <v>250</v>
      </c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5" hidden="1" customHeight="1">
      <c r="A185" s="31" t="s">
        <v>251</v>
      </c>
      <c r="B185" s="52">
        <v>275</v>
      </c>
      <c r="C185" s="116" t="s">
        <v>253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5" t="s">
        <v>252</v>
      </c>
      <c r="O185" s="38"/>
      <c r="P185" s="38"/>
      <c r="Q185" s="38"/>
      <c r="R185" s="38"/>
      <c r="S185" s="38"/>
      <c r="T185" s="38"/>
    </row>
    <row r="186" spans="1:20" ht="15" hidden="1" customHeight="1">
      <c r="A186" s="31" t="s">
        <v>254</v>
      </c>
      <c r="B186" s="52">
        <f>(210.2*19.2)/12</f>
        <v>336.32</v>
      </c>
      <c r="C186" s="116" t="s">
        <v>326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5" hidden="1" customHeight="1"/>
    <row r="188" spans="1:20" ht="15" hidden="1" customHeight="1"/>
    <row r="189" spans="1:20" ht="15" hidden="1" customHeight="1"/>
    <row r="190" spans="1:20" ht="15" hidden="1" customHeight="1">
      <c r="A190" s="38" t="s">
        <v>277</v>
      </c>
      <c r="B190" s="38">
        <v>56.929000000000002</v>
      </c>
    </row>
    <row r="191" spans="1:20" ht="15" hidden="1" customHeight="1">
      <c r="A191" s="38" t="s">
        <v>278</v>
      </c>
      <c r="B191" s="38">
        <v>206.554</v>
      </c>
    </row>
    <row r="192" spans="1:20" ht="15" hidden="1" customHeight="1">
      <c r="A192" s="38" t="s">
        <v>279</v>
      </c>
      <c r="B192" s="38">
        <v>754.28499999999997</v>
      </c>
    </row>
    <row r="193" spans="1:2" ht="15" hidden="1" customHeight="1">
      <c r="A193" s="38" t="s">
        <v>280</v>
      </c>
      <c r="B193" s="38">
        <v>11.875999999999999</v>
      </c>
    </row>
    <row r="194" spans="1:2" ht="15" hidden="1" customHeight="1">
      <c r="A194" s="38" t="s">
        <v>281</v>
      </c>
      <c r="B194" s="38">
        <v>23.745999999999999</v>
      </c>
    </row>
    <row r="195" spans="1:2" ht="15" hidden="1" customHeight="1">
      <c r="A195" s="38" t="s">
        <v>282</v>
      </c>
      <c r="B195" s="38">
        <v>1199.259</v>
      </c>
    </row>
    <row r="196" spans="1:2" ht="15" hidden="1" customHeight="1">
      <c r="A196" s="38" t="s">
        <v>283</v>
      </c>
      <c r="B196" s="38">
        <v>141.14699999999999</v>
      </c>
    </row>
    <row r="197" spans="1:2" ht="15" hidden="1" customHeight="1"/>
    <row r="198" spans="1:2" ht="15" hidden="1" customHeight="1"/>
    <row r="199" spans="1:2" ht="15" hidden="1" customHeight="1"/>
    <row r="200" spans="1:2" ht="15" hidden="1" customHeight="1"/>
    <row r="201" spans="1:2" ht="15" hidden="1" customHeight="1"/>
    <row r="202" spans="1:2" ht="15" hidden="1" customHeight="1"/>
    <row r="203" spans="1:2" ht="15" hidden="1" customHeight="1"/>
    <row r="204" spans="1:2" ht="15" hidden="1" customHeight="1"/>
    <row r="205" spans="1:2" ht="15" hidden="1" customHeight="1"/>
    <row r="206" spans="1:2" ht="15" hidden="1" customHeight="1"/>
    <row r="207" spans="1:2" ht="15" hidden="1" customHeight="1"/>
    <row r="208" spans="1:2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</sheetData>
  <mergeCells count="2">
    <mergeCell ref="A62:E62"/>
    <mergeCell ref="B88:E88"/>
  </mergeCells>
  <hyperlinks>
    <hyperlink ref="H8" r:id="rId1" xr:uid="{00000000-0004-0000-0000-000000000000}"/>
    <hyperlink ref="C112" r:id="rId2" xr:uid="{00000000-0004-0000-0000-000001000000}"/>
    <hyperlink ref="C129" r:id="rId3" display="https://www.minv.sk/?spravne-poplatky-1" xr:uid="{00000000-0004-0000-0000-000002000000}"/>
    <hyperlink ref="C130" r:id="rId4" display="http://www.minv.sk/?zmena-vlastnictva-vozidla" xr:uid="{00000000-0004-0000-0000-000003000000}"/>
    <hyperlink ref="C144" r:id="rId5" xr:uid="{00000000-0004-0000-0000-000004000000}"/>
    <hyperlink ref="C146" r:id="rId6" xr:uid="{00000000-0004-0000-0000-000005000000}"/>
    <hyperlink ref="C152" r:id="rId7" xr:uid="{00000000-0004-0000-0000-000006000000}"/>
    <hyperlink ref="C95" r:id="rId8" xr:uid="{00000000-0004-0000-0000-000007000000}"/>
    <hyperlink ref="C96" r:id="rId9" display="https://podpora.financnasprava.sk/181867-Stravovanie-zamestnancov" xr:uid="{00000000-0004-0000-0000-000008000000}"/>
    <hyperlink ref="C97" r:id="rId10" display="https://podpora.financnasprava.sk/181867-Stravovanie-zamestnancov" xr:uid="{00000000-0004-0000-0000-000009000000}"/>
    <hyperlink ref="C106" display="http://statdat.statistics.sk/cognosext/cgi-bin/cognos.cgi?b_action=cognosViewer&amp;ui.action=run&amp;ui.object=storeID(%22i42A8A014A687495596DC929810349606%22)&amp;ui.name=Pracuj%C3%BAci%20pod%C4%BEa%20veku%20%5Bpr3115qr%5D&amp;run.outputFormat=&amp;run.prompt=true&amp;cv.heade" xr:uid="{00000000-0004-0000-0000-00000A000000}"/>
    <hyperlink ref="C104" r:id="rId11" xr:uid="{00000000-0004-0000-0000-00000B000000}"/>
    <hyperlink ref="C145" display="https://eznamka.sk/selfcare/purchase/?sessionexpired=False&amp;frompayment=False&amp;sessionExpired=false&amp;frompayment=false&amp;screenWidth=1920&amp;agent=mozilla%2F5.0+(windows+nt+10.0%3B+win64%3B+x64)+applewebkit%2F537.36+(khtml%2C+like+gecko)+chrome%2F75.0.3770.100+sa" xr:uid="{00000000-0004-0000-0000-00000C000000}"/>
    <hyperlink ref="C153" r:id="rId12" xr:uid="{00000000-0004-0000-0000-00000D000000}"/>
    <hyperlink ref="C154" r:id="rId13" xr:uid="{00000000-0004-0000-0000-00000E000000}"/>
    <hyperlink ref="C156" display="http://statdat.statistics.sk/cognosext/cgi-bin/cognos.cgi?b_action=cognosViewer&amp;ui.action=run&amp;ui.object=storeID(%22iC47DE059516A434A9A7F9DC5ED37071C%22)&amp;ui.name=Povinn%C3%A9%20soci%C3%A1lne%20poistenie%20-%20pr%C3%ADjmy%20a%20v%C3%BDdavky%20-%20medziro%C4" xr:uid="{00000000-0004-0000-0000-00000F000000}"/>
    <hyperlink ref="C121" r:id="rId14" xr:uid="{00000000-0004-0000-0000-000010000000}"/>
    <hyperlink ref="C143" r:id="rId15" xr:uid="{00000000-0004-0000-0000-000011000000}"/>
    <hyperlink ref="C140" r:id="rId16" xr:uid="{00000000-0004-0000-0000-000012000000}"/>
    <hyperlink ref="C138" r:id="rId17" xr:uid="{00000000-0004-0000-0000-000013000000}"/>
    <hyperlink ref="C137" r:id="rId18" xr:uid="{00000000-0004-0000-0000-000014000000}"/>
    <hyperlink ref="C136" r:id="rId19" display="https://www.slov-lex.sk/pravne-predpisy/SK/ZZ/2012/340/" xr:uid="{00000000-0004-0000-0000-000015000000}"/>
    <hyperlink ref="C131" r:id="rId20" xr:uid="{00000000-0004-0000-0000-000016000000}"/>
    <hyperlink ref="C128" r:id="rId21" xr:uid="{00000000-0004-0000-0000-000017000000}"/>
    <hyperlink ref="C151" r:id="rId22" xr:uid="{00000000-0004-0000-0000-000018000000}"/>
    <hyperlink ref="C132" r:id="rId23" xr:uid="{00000000-0004-0000-0000-000019000000}"/>
    <hyperlink ref="C135" r:id="rId24" xr:uid="{00000000-0004-0000-0000-00001A000000}"/>
    <hyperlink ref="C124" r:id="rId25" xr:uid="{00000000-0004-0000-0000-00001B000000}"/>
    <hyperlink ref="C125" r:id="rId26" xr:uid="{00000000-0004-0000-0000-00001C000000}"/>
    <hyperlink ref="C126" r:id="rId27" xr:uid="{00000000-0004-0000-0000-00001D000000}"/>
    <hyperlink ref="C127" r:id="rId28" xr:uid="{00000000-0004-0000-0000-00001E000000}"/>
    <hyperlink ref="C123" r:id="rId29" xr:uid="{00000000-0004-0000-0000-00001F000000}"/>
    <hyperlink ref="C147" r:id="rId30" location="!/view/sk/VBD_INTERN/nu0007rs/v_nu0007rs_00_00_00_sk" display="http://datacube.statistics.sk/#!/view/sk/VBD_INTERN/nu0007rs/v_nu0007rs_00_00_00_sk" xr:uid="{00000000-0004-0000-0000-000020000000}"/>
    <hyperlink ref="C149" r:id="rId31" xr:uid="{00000000-0004-0000-0000-000021000000}"/>
    <hyperlink ref="C142" r:id="rId32" location="p5" xr:uid="{00000000-0004-0000-0000-000022000000}"/>
    <hyperlink ref="F142" r:id="rId33" xr:uid="{00000000-0004-0000-0000-000023000000}"/>
    <hyperlink ref="J142" r:id="rId34" xr:uid="{00000000-0004-0000-0000-000024000000}"/>
    <hyperlink ref="C141" r:id="rId35" xr:uid="{00000000-0004-0000-0000-000025000000}"/>
    <hyperlink ref="C139" r:id="rId36" xr:uid="{00000000-0004-0000-0000-000026000000}"/>
    <hyperlink ref="C100" r:id="rId37" xr:uid="{00000000-0004-0000-0000-000027000000}"/>
    <hyperlink ref="C150" r:id="rId38" xr:uid="{00000000-0004-0000-0000-000028000000}"/>
    <hyperlink ref="C105" r:id="rId39" xr:uid="{00000000-0004-0000-0000-000029000000}"/>
    <hyperlink ref="C122" r:id="rId40" xr:uid="{00000000-0004-0000-0000-00002A000000}"/>
    <hyperlink ref="C94" r:id="rId41" xr:uid="{00000000-0004-0000-0000-00002B000000}"/>
    <hyperlink ref="J152" r:id="rId42" xr:uid="{00000000-0004-0000-0000-00002C000000}"/>
    <hyperlink ref="J144" r:id="rId43" xr:uid="{00000000-0004-0000-0000-00002D000000}"/>
    <hyperlink ref="C113" r:id="rId44" location="!/view/sk/VBD_INTERN/st0003qs/v_st0003qs_00_00_00_sk" xr:uid="{00000000-0004-0000-0000-00002E000000}"/>
    <hyperlink ref="C114" r:id="rId45" location="!/view/sk/VBD_INTERN/st0003qs/v_st0003qs_00_00_00_sk" xr:uid="{00000000-0004-0000-0000-00002F000000}"/>
    <hyperlink ref="J122" r:id="rId46" xr:uid="{00000000-0004-0000-0000-000030000000}"/>
    <hyperlink ref="J93" r:id="rId47" xr:uid="{00000000-0004-0000-0000-000031000000}"/>
    <hyperlink ref="J137" r:id="rId48" xr:uid="{00000000-0004-0000-0000-000032000000}"/>
    <hyperlink ref="J100" r:id="rId49" xr:uid="{00000000-0004-0000-0000-000033000000}"/>
    <hyperlink ref="C155" r:id="rId50" xr:uid="{00000000-0004-0000-0000-000034000000}"/>
    <hyperlink ref="C98" r:id="rId51" xr:uid="{00000000-0004-0000-0000-000035000000}"/>
    <hyperlink ref="C99" r:id="rId52" xr:uid="{00000000-0004-0000-0000-000036000000}"/>
    <hyperlink ref="C93" r:id="rId53" xr:uid="{00000000-0004-0000-0000-000037000000}"/>
    <hyperlink ref="C101" r:id="rId54" xr:uid="{00000000-0004-0000-0000-000038000000}"/>
    <hyperlink ref="C102" r:id="rId55" xr:uid="{00000000-0004-0000-0000-000039000000}"/>
    <hyperlink ref="C103" r:id="rId56" xr:uid="{00000000-0004-0000-0000-00003A000000}"/>
    <hyperlink ref="C107" r:id="rId57" xr:uid="{00000000-0004-0000-0000-00003B000000}"/>
    <hyperlink ref="C108" r:id="rId58" xr:uid="{00000000-0004-0000-0000-00003C000000}"/>
    <hyperlink ref="C109" r:id="rId59" xr:uid="{00000000-0004-0000-0000-00003D000000}"/>
    <hyperlink ref="C110" r:id="rId60" location="!/view/sk/VBD_SK_WIN/nu1024rs/v_nu1024rs_00_00_00_sk" xr:uid="{00000000-0004-0000-0000-00003E000000}"/>
    <hyperlink ref="C111" r:id="rId61" location="!/view/sk/VBD_SK_WIN/nu1024rs/v_nu1024rs_00_00_00_sk" xr:uid="{00000000-0004-0000-0000-00003F000000}"/>
    <hyperlink ref="C116" r:id="rId62" location="!/view/sk/VBD_SLOVSTAT/st2001rs/v_st2001rs_00_00_00_sk" xr:uid="{00000000-0004-0000-0000-000040000000}"/>
    <hyperlink ref="C115" r:id="rId63" location="!/view/sk/VBD_SLOVSTAT/st2001rs/v_st2001rs_00_00_00_sk" xr:uid="{00000000-0004-0000-0000-000041000000}"/>
    <hyperlink ref="C148" r:id="rId64" xr:uid="{00000000-0004-0000-0000-000042000000}"/>
    <hyperlink ref="C134" r:id="rId65" xr:uid="{00000000-0004-0000-0000-000043000000}"/>
    <hyperlink ref="C133" r:id="rId66" xr:uid="{00000000-0004-0000-0000-000044000000}"/>
    <hyperlink ref="C157" r:id="rId67" xr:uid="{00000000-0004-0000-0000-000045000000}"/>
    <hyperlink ref="C164" r:id="rId68" xr:uid="{00000000-0004-0000-0000-000046000000}"/>
    <hyperlink ref="C165" r:id="rId69" xr:uid="{00000000-0004-0000-0000-000047000000}"/>
    <hyperlink ref="C167" r:id="rId70" xr:uid="{00000000-0004-0000-0000-000048000000}"/>
    <hyperlink ref="C169" r:id="rId71" xr:uid="{00000000-0004-0000-0000-000049000000}"/>
    <hyperlink ref="C170" r:id="rId72" xr:uid="{00000000-0004-0000-0000-00004A000000}"/>
    <hyperlink ref="C171" r:id="rId73" xr:uid="{00000000-0004-0000-0000-00004B000000}"/>
    <hyperlink ref="C172" r:id="rId74" display="https://www.sadtn.sk/files/Vyrocna_%20sprava_2017.pdf" xr:uid="{00000000-0004-0000-0000-00004C000000}"/>
    <hyperlink ref="C180" r:id="rId75" xr:uid="{00000000-0004-0000-0000-00004D000000}"/>
    <hyperlink ref="C181" r:id="rId76" xr:uid="{00000000-0004-0000-0000-00004E000000}"/>
    <hyperlink ref="C168" r:id="rId77" xr:uid="{00000000-0004-0000-0000-00004F000000}"/>
    <hyperlink ref="C177" r:id="rId78" display="www.statistics.sk" xr:uid="{00000000-0004-0000-0000-000050000000}"/>
    <hyperlink ref="C178" r:id="rId79" display="www.statistics.sk" xr:uid="{00000000-0004-0000-0000-000051000000}"/>
    <hyperlink ref="C179" r:id="rId80" xr:uid="{00000000-0004-0000-0000-000052000000}"/>
    <hyperlink ref="C166" r:id="rId81" xr:uid="{00000000-0004-0000-0000-000053000000}"/>
    <hyperlink ref="C161" r:id="rId82" xr:uid="{00000000-0004-0000-0000-000054000000}"/>
    <hyperlink ref="C160" r:id="rId83" xr:uid="{00000000-0004-0000-0000-000055000000}"/>
    <hyperlink ref="J158" r:id="rId84" xr:uid="{00000000-0004-0000-0000-000056000000}"/>
    <hyperlink ref="C176" r:id="rId85" xr:uid="{00000000-0004-0000-0000-000057000000}"/>
    <hyperlink ref="C162" r:id="rId86" xr:uid="{00000000-0004-0000-0000-000058000000}"/>
    <hyperlink ref="C182" r:id="rId87" xr:uid="{00000000-0004-0000-0000-000059000000}"/>
    <hyperlink ref="C159" r:id="rId88" xr:uid="{00000000-0004-0000-0000-00005A000000}"/>
    <hyperlink ref="J159" r:id="rId89" xr:uid="{00000000-0004-0000-0000-00005B000000}"/>
    <hyperlink ref="J160" r:id="rId90" xr:uid="{00000000-0004-0000-0000-00005C000000}"/>
    <hyperlink ref="J161" r:id="rId91" xr:uid="{00000000-0004-0000-0000-00005D000000}"/>
    <hyperlink ref="J162" r:id="rId92" xr:uid="{00000000-0004-0000-0000-00005E000000}"/>
    <hyperlink ref="J163" r:id="rId93" xr:uid="{00000000-0004-0000-0000-00005F000000}"/>
    <hyperlink ref="C158" r:id="rId94" xr:uid="{00000000-0004-0000-0000-000060000000}"/>
    <hyperlink ref="C184" r:id="rId95" xr:uid="{00000000-0004-0000-0000-000061000000}"/>
    <hyperlink ref="C183" r:id="rId96" xr:uid="{00000000-0004-0000-0000-000062000000}"/>
    <hyperlink ref="C185" r:id="rId97" xr:uid="{00000000-0004-0000-0000-000063000000}"/>
    <hyperlink ref="C186" r:id="rId98" location="paragraf-11" xr:uid="{00000000-0004-0000-0000-000064000000}"/>
    <hyperlink ref="J176" r:id="rId99" xr:uid="{00000000-0004-0000-0000-000065000000}"/>
    <hyperlink ref="J166" r:id="rId100" xr:uid="{00000000-0004-0000-0000-000066000000}"/>
    <hyperlink ref="C174" r:id="rId101" xr:uid="{00000000-0004-0000-0000-000067000000}"/>
    <hyperlink ref="C175" r:id="rId102" xr:uid="{00000000-0004-0000-0000-000068000000}"/>
    <hyperlink ref="V37" r:id="rId103" xr:uid="{00000000-0004-0000-0000-000069000000}"/>
    <hyperlink ref="V30" r:id="rId104" xr:uid="{00000000-0004-0000-0000-00006A000000}"/>
  </hyperlinks>
  <pageMargins left="0.24" right="0.24" top="0.17" bottom="0.17" header="0.17" footer="0.17"/>
  <pageSetup scale="82" orientation="portrait" r:id="rId105"/>
  <headerFooter>
    <oddFooter>&amp;C&amp;"Helvetica Neue,Regular"&amp;11&amp;K000000&amp;P</oddFooter>
  </headerFooter>
  <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Výpočet</vt:lpstr>
      <vt:lpstr>Výpočet!Oblast_tisku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Andrea Gondová</dc:creator>
  <cp:lastModifiedBy>Peter Gonda</cp:lastModifiedBy>
  <cp:lastPrinted>2021-08-17T11:09:15Z</cp:lastPrinted>
  <dcterms:created xsi:type="dcterms:W3CDTF">2018-08-12T17:39:09Z</dcterms:created>
  <dcterms:modified xsi:type="dcterms:W3CDTF">2021-08-17T11:13:55Z</dcterms:modified>
</cp:coreProperties>
</file>