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ProOne440\Documents\Dokumenty\VF\"/>
    </mc:Choice>
  </mc:AlternateContent>
  <xr:revisionPtr revIDLastSave="0" documentId="8_{53CACD1E-ECC5-4E72-A9B7-92E3EB40CE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ýpočet" sheetId="1" r:id="rId1"/>
    <sheet name="výpočty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6" i="1" l="1"/>
  <c r="B113" i="1"/>
  <c r="B114" i="1"/>
  <c r="B131" i="1"/>
  <c r="B137" i="1"/>
  <c r="B139" i="1" s="1"/>
  <c r="B138" i="1"/>
  <c r="B163" i="1"/>
  <c r="B141" i="1" s="1"/>
  <c r="B176" i="1"/>
  <c r="B179" i="1"/>
  <c r="B182" i="1"/>
  <c r="B186" i="1"/>
  <c r="C17" i="1"/>
  <c r="C40" i="1" l="1"/>
  <c r="C29" i="1" l="1"/>
  <c r="C30" i="1"/>
  <c r="C31" i="1"/>
  <c r="D17" i="1" l="1"/>
  <c r="C15" i="5" l="1"/>
  <c r="C16" i="5" s="1"/>
  <c r="D15" i="5"/>
  <c r="C29" i="5"/>
  <c r="D29" i="5"/>
  <c r="C42" i="5"/>
  <c r="C43" i="5" s="1"/>
  <c r="C15" i="1" s="1"/>
  <c r="A15" i="1" s="1"/>
  <c r="C48" i="5"/>
  <c r="C30" i="5" l="1"/>
  <c r="C31" i="5" s="1"/>
  <c r="C44" i="5"/>
  <c r="A36" i="1" l="1"/>
  <c r="A37" i="1"/>
  <c r="A35" i="1"/>
  <c r="A34" i="1"/>
  <c r="A33" i="1"/>
  <c r="A32" i="1"/>
  <c r="A42" i="1" l="1"/>
  <c r="A41" i="1"/>
  <c r="A30" i="1"/>
  <c r="A29" i="1"/>
  <c r="A24" i="1"/>
  <c r="A23" i="1"/>
  <c r="A19" i="1"/>
  <c r="A18" i="1"/>
  <c r="A10" i="1"/>
  <c r="A13" i="1"/>
  <c r="A12" i="1"/>
  <c r="A11" i="1"/>
  <c r="A9" i="1"/>
  <c r="A8" i="1"/>
  <c r="A7" i="1"/>
  <c r="A3" i="1"/>
  <c r="D22" i="1" l="1"/>
  <c r="D5" i="1" l="1"/>
  <c r="G3" i="1"/>
  <c r="E17" i="1" l="1"/>
  <c r="A67" i="1"/>
  <c r="E5" i="1"/>
  <c r="C5" i="1"/>
  <c r="C37" i="1" l="1"/>
  <c r="C36" i="1"/>
  <c r="D21" i="1" l="1"/>
  <c r="C39" i="1" l="1"/>
  <c r="D4" i="1" l="1"/>
  <c r="C33" i="1" l="1"/>
  <c r="D7" i="1"/>
  <c r="D48" i="1"/>
  <c r="C48" i="1" s="1"/>
  <c r="D47" i="1"/>
  <c r="D46" i="1"/>
  <c r="D45" i="1"/>
  <c r="D44" i="1"/>
  <c r="C44" i="1" s="1"/>
  <c r="D43" i="1"/>
  <c r="C43" i="1"/>
  <c r="C42" i="1"/>
  <c r="D42" i="1" s="1"/>
  <c r="C20" i="1"/>
  <c r="D20" i="1" s="1"/>
  <c r="D41" i="1"/>
  <c r="D40" i="1"/>
  <c r="D39" i="1"/>
  <c r="D38" i="1"/>
  <c r="D36" i="1"/>
  <c r="D35" i="1"/>
  <c r="D30" i="1"/>
  <c r="D29" i="1"/>
  <c r="D27" i="1"/>
  <c r="C27" i="1" s="1"/>
  <c r="D26" i="1"/>
  <c r="C26" i="1" s="1"/>
  <c r="C24" i="1"/>
  <c r="D24" i="1" s="1"/>
  <c r="C23" i="1"/>
  <c r="D23" i="1" s="1"/>
  <c r="D18" i="1"/>
  <c r="C18" i="1"/>
  <c r="C16" i="1"/>
  <c r="D16" i="1" s="1"/>
  <c r="D15" i="1"/>
  <c r="D13" i="1"/>
  <c r="D12" i="1"/>
  <c r="D11" i="1"/>
  <c r="D10" i="1"/>
  <c r="D9" i="1"/>
  <c r="D6" i="1"/>
  <c r="E21" i="1"/>
  <c r="C72" i="1" l="1"/>
  <c r="D25" i="1"/>
  <c r="D33" i="1"/>
  <c r="E33" i="1" s="1"/>
  <c r="D37" i="1"/>
  <c r="E37" i="1" s="1"/>
  <c r="C6" i="1"/>
  <c r="C9" i="1"/>
  <c r="E24" i="1"/>
  <c r="E38" i="1"/>
  <c r="C11" i="1"/>
  <c r="E40" i="1"/>
  <c r="E29" i="1"/>
  <c r="C4" i="1"/>
  <c r="E12" i="1"/>
  <c r="D72" i="1" s="1"/>
  <c r="E18" i="1"/>
  <c r="E41" i="1"/>
  <c r="E22" i="1"/>
  <c r="E30" i="1"/>
  <c r="E6" i="1"/>
  <c r="E36" i="1"/>
  <c r="E10" i="1"/>
  <c r="E15" i="1"/>
  <c r="E45" i="1"/>
  <c r="E16" i="1"/>
  <c r="E23" i="1"/>
  <c r="E46" i="1"/>
  <c r="E35" i="1"/>
  <c r="C34" i="1"/>
  <c r="D34" i="1" s="1"/>
  <c r="E34" i="1" s="1"/>
  <c r="D31" i="1"/>
  <c r="E31" i="1" s="1"/>
  <c r="E4" i="1"/>
  <c r="C10" i="1"/>
  <c r="E11" i="1"/>
  <c r="C12" i="1"/>
  <c r="C22" i="1"/>
  <c r="E39" i="1"/>
  <c r="E20" i="1"/>
  <c r="E42" i="1"/>
  <c r="E43" i="1"/>
  <c r="E44" i="1"/>
  <c r="C46" i="1"/>
  <c r="E47" i="1"/>
  <c r="E48" i="1"/>
  <c r="D32" i="1"/>
  <c r="E32" i="1" s="1"/>
  <c r="E7" i="1"/>
  <c r="C7" i="1"/>
  <c r="G4" i="1"/>
  <c r="C13" i="1"/>
  <c r="E27" i="1"/>
  <c r="E9" i="1"/>
  <c r="E13" i="1"/>
  <c r="E26" i="1"/>
  <c r="D8" i="1"/>
  <c r="C45" i="1"/>
  <c r="C47" i="1"/>
  <c r="C14" i="1"/>
  <c r="C80" i="1" l="1"/>
  <c r="D14" i="1"/>
  <c r="C71" i="1" s="1"/>
  <c r="G5" i="1"/>
  <c r="G6" i="1" s="1"/>
  <c r="G7" i="1" s="1"/>
  <c r="G8" i="1" s="1"/>
  <c r="G9" i="1" s="1"/>
  <c r="G10" i="1" s="1"/>
  <c r="G11" i="1" s="1"/>
  <c r="G12" i="1" s="1"/>
  <c r="G13" i="1" s="1"/>
  <c r="E8" i="1"/>
  <c r="D80" i="1" s="1"/>
  <c r="C8" i="1"/>
  <c r="C25" i="1"/>
  <c r="E25" i="1"/>
  <c r="E14" i="1" l="1"/>
  <c r="C19" i="1"/>
  <c r="G14" i="1"/>
  <c r="G15" i="1" s="1"/>
  <c r="G16" i="1" s="1"/>
  <c r="G17" i="1" l="1"/>
  <c r="G18" i="1" s="1"/>
  <c r="D71" i="1"/>
  <c r="D19" i="1"/>
  <c r="E19" i="1" l="1"/>
  <c r="G19" i="1"/>
  <c r="G20" i="1" s="1"/>
  <c r="G21" i="1" s="1"/>
  <c r="G22" i="1" s="1"/>
  <c r="C81" i="1"/>
  <c r="D81" i="1" l="1"/>
  <c r="G23" i="1"/>
  <c r="G24" i="1" s="1"/>
  <c r="G25" i="1" s="1"/>
  <c r="G26" i="1" s="1"/>
  <c r="G27" i="1" s="1"/>
  <c r="D28" i="1" s="1"/>
  <c r="E28" i="1" l="1"/>
  <c r="C82" i="1"/>
  <c r="C28" i="1"/>
  <c r="G28" i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l="1"/>
  <c r="G43" i="1" s="1"/>
  <c r="G44" i="1" s="1"/>
  <c r="G45" i="1" s="1"/>
  <c r="G46" i="1" s="1"/>
  <c r="G47" i="1" s="1"/>
  <c r="G48" i="1" s="1"/>
  <c r="D58" i="1" s="1"/>
  <c r="D82" i="1"/>
  <c r="D57" i="1" l="1"/>
  <c r="C57" i="1" s="1"/>
  <c r="C58" i="1"/>
  <c r="D56" i="1"/>
  <c r="E56" i="1" s="1"/>
  <c r="D52" i="1"/>
  <c r="C74" i="1" s="1"/>
  <c r="D51" i="1"/>
  <c r="D55" i="1"/>
  <c r="E55" i="1" s="1"/>
  <c r="D49" i="1"/>
  <c r="G49" i="1" s="1"/>
  <c r="D50" i="1"/>
  <c r="D53" i="1"/>
  <c r="E53" i="1" s="1"/>
  <c r="D54" i="1"/>
  <c r="E54" i="1" s="1"/>
  <c r="C73" i="1" l="1"/>
  <c r="C56" i="1"/>
  <c r="C54" i="1"/>
  <c r="E52" i="1"/>
  <c r="D74" i="1" s="1"/>
  <c r="E57" i="1"/>
  <c r="E58" i="1"/>
  <c r="D73" i="1" s="1"/>
  <c r="C49" i="1"/>
  <c r="C52" i="1"/>
  <c r="C55" i="1"/>
  <c r="C51" i="1"/>
  <c r="C53" i="1"/>
  <c r="E51" i="1"/>
  <c r="C83" i="1"/>
  <c r="C84" i="1" s="1"/>
  <c r="C50" i="1"/>
  <c r="C70" i="1"/>
  <c r="E50" i="1"/>
  <c r="G50" i="1"/>
  <c r="G51" i="1" s="1"/>
  <c r="G52" i="1" s="1"/>
  <c r="G53" i="1" s="1"/>
  <c r="G54" i="1" s="1"/>
  <c r="G55" i="1" s="1"/>
  <c r="G56" i="1" s="1"/>
  <c r="G57" i="1" s="1"/>
  <c r="G58" i="1" s="1"/>
  <c r="D60" i="1"/>
  <c r="E49" i="1"/>
  <c r="C75" i="1" l="1"/>
  <c r="E60" i="1"/>
  <c r="A1" i="1" s="1"/>
  <c r="D59" i="1"/>
  <c r="D70" i="1"/>
  <c r="D75" i="1" s="1"/>
  <c r="D83" i="1"/>
  <c r="D84" i="1" s="1"/>
  <c r="E80" i="1" s="1"/>
  <c r="D61" i="1" l="1"/>
  <c r="G59" i="1"/>
  <c r="E59" i="1"/>
  <c r="E61" i="1" s="1"/>
  <c r="E82" i="1"/>
  <c r="E81" i="1"/>
  <c r="E83" i="1"/>
  <c r="E71" i="1"/>
  <c r="E74" i="1"/>
  <c r="E72" i="1"/>
  <c r="E73" i="1"/>
  <c r="E70" i="1"/>
  <c r="E84" i="1" l="1"/>
  <c r="E75" i="1"/>
</calcChain>
</file>

<file path=xl/sharedStrings.xml><?xml version="1.0" encoding="utf-8"?>
<sst xmlns="http://schemas.openxmlformats.org/spreadsheetml/2006/main" count="433" uniqueCount="275">
  <si>
    <t>Mesačné daňové výdavky občana SR v EUR</t>
  </si>
  <si>
    <t>ekon. charakt. dane</t>
  </si>
  <si>
    <t>efekt. sadzba zdanenia</t>
  </si>
  <si>
    <t>úbytok     peňazí</t>
  </si>
  <si>
    <t>podiel na   mzde</t>
  </si>
  <si>
    <t>príjemca dane</t>
  </si>
  <si>
    <t>zostatok  peňazí</t>
  </si>
  <si>
    <t>Komentáre</t>
  </si>
  <si>
    <t>Príspevok zamestnávateľa na stravovanie</t>
  </si>
  <si>
    <t>príjmová</t>
  </si>
  <si>
    <t>súkr. spol.</t>
  </si>
  <si>
    <t>Odvody do Sociálnej poisťovne</t>
  </si>
  <si>
    <t>štát</t>
  </si>
  <si>
    <r>
      <rPr>
        <u/>
        <sz val="11"/>
        <color indexed="13"/>
        <rFont val="Calibri"/>
        <family val="2"/>
      </rPr>
      <t>http://www.poistovne.sk/30241-sk/ake-poplatky-vas-pri-dochodkovom-sporeni-v-2-pilieri-cakaju.php</t>
    </r>
  </si>
  <si>
    <t>VÚC</t>
  </si>
  <si>
    <t>obec</t>
  </si>
  <si>
    <t>majetková</t>
  </si>
  <si>
    <t>Daň za psa (400 tis. psov)</t>
  </si>
  <si>
    <t>https://www.finance.sk/178572-dan-za-psa/</t>
  </si>
  <si>
    <t>Koncesionársky poplatok (RTVS)</t>
  </si>
  <si>
    <t>Pokuty, penále, sankcie</t>
  </si>
  <si>
    <t>spotrebná</t>
  </si>
  <si>
    <t>Súdne a správne poplatky</t>
  </si>
  <si>
    <t>Odvod poisťovní</t>
  </si>
  <si>
    <t>Bankový odvod</t>
  </si>
  <si>
    <t>Odvod lotérií a hazardných hier (26% zo zisku)</t>
  </si>
  <si>
    <t>Slovenská pošta, a.s. (kompenzácia na univerzálnu službu)</t>
  </si>
  <si>
    <t>Daň z pridanej hodnoty</t>
  </si>
  <si>
    <t>https://www.slovensko.sk/sk/agendy/agenda/_spotrebna-dan-z-alkoholickych</t>
  </si>
  <si>
    <t>https://www.slovensko.sk/sk/agendy/agenda/_spotrebna-dan-z-tabakovych-vyr</t>
  </si>
  <si>
    <t>https://www.financnasprava.sk/sk/obcania/dane/spotrebne-dane/spotrebne-dane-obcania-ele#SadzbaSDElektrinaUhlieZemnyPlyn</t>
  </si>
  <si>
    <t>Spotrebná daň z minerálnych olejov (15 000 km/ročne/6.5l/100km = 975 litrov/rok)</t>
  </si>
  <si>
    <t>Poplatky za distribúciu ropy (975 litrov/rok)</t>
  </si>
  <si>
    <t>ponechaný starý údaj, aktuálnejší nenájdený</t>
  </si>
  <si>
    <t>Vodné a stočné (priemerná spotreba 110 m3/3 os.domácn./rok)</t>
  </si>
  <si>
    <t>https://www.zsvs.sk/informacie/cena-za-vodne-a-stocne/</t>
  </si>
  <si>
    <t>náhrada poplatku do Recyklačného fondu - závisí od typu auta</t>
  </si>
  <si>
    <t>STK, emisná kontrola (1x za 2 roky)</t>
  </si>
  <si>
    <t>https://www.stkonline.sk/bratislava/</t>
  </si>
  <si>
    <t>Diaľničná nálepka (ročná, os. automobil)</t>
  </si>
  <si>
    <t>Parkovné v mestách (50%)</t>
  </si>
  <si>
    <t>ponechané, nenájdený zdroj, na základe údajov z BA, KE, TT približne môže sedieť</t>
  </si>
  <si>
    <t>to isté ako 42</t>
  </si>
  <si>
    <t>Poplatky obecným príspevkovým organizáciám</t>
  </si>
  <si>
    <t>Cestovné lístky MHD</t>
  </si>
  <si>
    <t>tržby dopravných podnikov z cestovného (BA - 42,6, ZI - 9,4, KE - 11,56) --&gt; odhad za všetky mestá 200mil.EUR, v BA 55% je vo verejnom záujme --&gt; odhad 110 mil.EUR</t>
  </si>
  <si>
    <t>Poplatky ŽSR za prístup k železničnej infraštruktúre</t>
  </si>
  <si>
    <t>Daň z motorových vozidiel</t>
  </si>
  <si>
    <t>podnikat.</t>
  </si>
  <si>
    <t>https://www.podnikajte.sk/dane-a-uctovnictvo/c/1804/category/dan-z-motorovych-vozidiel/article/dan-motorove-vozidla-2015.xhtml
Od 2015 už to je príjem štátu, nie VÚC</t>
  </si>
  <si>
    <t>Elektronický výber mýta (55%)</t>
  </si>
  <si>
    <t>Elektronický výber mýta (45%)</t>
  </si>
  <si>
    <t>Clo (75%)</t>
  </si>
  <si>
    <t>EÚ</t>
  </si>
  <si>
    <t>Clo (25%)</t>
  </si>
  <si>
    <t>Daň z príjmov právnických osôb + daň z príjmov samostatne zárobkovo činných osôb</t>
  </si>
  <si>
    <t>Odvody do sociálnej poisťovne za samostatne zárobkovo činné osoby</t>
  </si>
  <si>
    <t>http://statdat.statistics.sk/cognosext/cgi-bin/cognos.cgi?b_action=cognosViewer&amp;ui.action=run&amp;ui.object=storeID(%22iC47DE059516A434A9A7F9DC5ED37071C%22)&amp;ui.name=Povinn%C3%A9%20soci%C3%A1lne%20poistenie%20-%20pr%C3%ADjmy%20a%20v%C3%BDdavky%20-%20medziro%C4%8Dn%C3%A9%20porovnanie%20%5bso1003qs%5d&amp;run.outputFormat=&amp;run.prompt=true&amp;cv.header=false&amp;ui.backURL=%2fcognosext%2fcps4%2fportlets%2fcommon%2fclose.html&amp;run.outputLocale=sk</t>
  </si>
  <si>
    <t>Zaplatené dane</t>
  </si>
  <si>
    <t>Spolu</t>
  </si>
  <si>
    <t>Roman Scherhaufer   © 2013      European Investment Centre       www.eic.eu           Konzervatívny inštitút M. R. Štefánika             www.konzervativizmus.sk</t>
  </si>
  <si>
    <t>Komu a koľko na daniach mesačne platíme:</t>
  </si>
  <si>
    <t>v EUR</t>
  </si>
  <si>
    <t>% zo mzdy</t>
  </si>
  <si>
    <t>% z daní</t>
  </si>
  <si>
    <t>štátu</t>
  </si>
  <si>
    <t>súkrom. spol.</t>
  </si>
  <si>
    <t>spolu</t>
  </si>
  <si>
    <t>Čo a v akej výške štát mesačne zdaňuje:</t>
  </si>
  <si>
    <t>príjem</t>
  </si>
  <si>
    <t>majetok</t>
  </si>
  <si>
    <t>spotrebu</t>
  </si>
  <si>
    <t>podnikanie</t>
  </si>
  <si>
    <t xml:space="preserve">    Roman Scherhaufer   © 2013</t>
  </si>
  <si>
    <t xml:space="preserve">    European Investment Centre       www.eic.eu</t>
  </si>
  <si>
    <t>Konzervatívny inštitút M. R. Štefánika   www.konzervativizmus.sk</t>
  </si>
  <si>
    <t>Priemerná mzda</t>
  </si>
  <si>
    <t>http://statdat.statistics.sk/cognosext/cgi-bin/cognos.cgi?b_action=cognosViewer&amp;ui.action=run&amp;ui.object=storeID(%22i94C7052B240A492FB3BE8C7A487D337B%22)&amp;ui.name=Priemern%C3%A1%20mesa%C4%8Dn%C3%A1%20mzda%20v%20hospod%C3%A1rstve%20SR%20%5Bpr0204qs%5D&amp;run.outputFormat=&amp;run.prompt=true&amp;cv.header=false&amp;ui.backURL=%2Fcognosext%2Fcps4%2Fportlets%2Fcommon%2Fclose.html&amp;run.outputLocale=sk</t>
  </si>
  <si>
    <t>Odvody zamestnávateľa</t>
  </si>
  <si>
    <t>Príspevok na stravné</t>
  </si>
  <si>
    <t>Odvod zamestnávateľa do Soc.poisť.</t>
  </si>
  <si>
    <t>Odvod zamestnanca do Soc.poisť.</t>
  </si>
  <si>
    <t>Časť odvodov prúdiaca do súkromných DSS</t>
  </si>
  <si>
    <t>Poplatok za správu fondu a vedenie účtu DSS</t>
  </si>
  <si>
    <t>Odvod zamestnávateľa do Zdrav.poisť.</t>
  </si>
  <si>
    <t>Odvod zamestnanca do Zdrav.poisť.</t>
  </si>
  <si>
    <t>Časť zdravotných odvodov, ktorú si necháva Zdrav.poisť.</t>
  </si>
  <si>
    <t>Výnos z dane z príjmu FO</t>
  </si>
  <si>
    <t>Počet pracujúcich spolu</t>
  </si>
  <si>
    <t>Podieľ na dani z príjmu FO - štát</t>
  </si>
  <si>
    <t>Podieľ na dani z príjmu FO - VÚC</t>
  </si>
  <si>
    <t>Podieľ na dani z príjmu FO - obec</t>
  </si>
  <si>
    <t>Ekonomicky aktívne obyvateľstvo</t>
  </si>
  <si>
    <t>Nezamestnaní</t>
  </si>
  <si>
    <t>Poberatelia dôchodkov</t>
  </si>
  <si>
    <t>Počet bytov</t>
  </si>
  <si>
    <t>Počet rodinných domov</t>
  </si>
  <si>
    <t>Priemerná plocha bytu</t>
  </si>
  <si>
    <t>Priemerná plocha domu</t>
  </si>
  <si>
    <t>Priemerná sadzba dane - byt</t>
  </si>
  <si>
    <t>Priemerná sadzba dane - dom</t>
  </si>
  <si>
    <t>Počet obyvateľov</t>
  </si>
  <si>
    <t>Daň za psa</t>
  </si>
  <si>
    <t>Daň z príjmov vyberaná zrážkou</t>
  </si>
  <si>
    <t>Úspory obyvateľstva</t>
  </si>
  <si>
    <t>https://www.minv.sk/?celkovy-pocet-evidovanych-vozidiel-v-sr</t>
  </si>
  <si>
    <t>Počet nových automobilov</t>
  </si>
  <si>
    <t>Počet dovezených automobilov</t>
  </si>
  <si>
    <t>Počet automobilov, ktoré zmenili vlastníka</t>
  </si>
  <si>
    <t>Podieľ osobných automobilov</t>
  </si>
  <si>
    <t>Registračná daň za automobil (v EUR)</t>
  </si>
  <si>
    <t>Registrácia zmeny majiteľa vozidla (v EUR)</t>
  </si>
  <si>
    <t>Odvod z lotérií a hazardných hier</t>
  </si>
  <si>
    <t>Spotreba elektriny</t>
  </si>
  <si>
    <t>Cena za distribúciu elektriny - fixný</t>
  </si>
  <si>
    <t>Cena za distribúciu elektriny - variabilný</t>
  </si>
  <si>
    <t>Cena za distribúciu plynu - fixný</t>
  </si>
  <si>
    <t>Cena za distribúciu plynu - variabilný (MWh)</t>
  </si>
  <si>
    <t>Ročná spotreba minerálnych olejov (litrov / rok)</t>
  </si>
  <si>
    <t>Priemerná spotreba vody v m3/3 os.domácnosť./rok</t>
  </si>
  <si>
    <t>Výnosy z predaja diaľničných nálepok</t>
  </si>
  <si>
    <t>Prevádzkovanie železničnej infraštruktúry</t>
  </si>
  <si>
    <t>Produkcia - HDP</t>
  </si>
  <si>
    <t>Výdavky verejnej správy</t>
  </si>
  <si>
    <t>Výnosy z dane z motorových vozidiel</t>
  </si>
  <si>
    <t>Výnosy z elektronického výberu mýta</t>
  </si>
  <si>
    <t>Náklady na elektronický výber mýta</t>
  </si>
  <si>
    <t>https://www.finstat.sk/35919001/zavierka</t>
  </si>
  <si>
    <t>Podieľ tuzemských prepravcov na el.výbere mýta</t>
  </si>
  <si>
    <t>Daň z príjmov právnických osôb</t>
  </si>
  <si>
    <t>Daň z príjmov SZČO</t>
  </si>
  <si>
    <t>Odvody do sociálnej poisťovňe za SZČO</t>
  </si>
  <si>
    <t>Odvody do zdravotnej poisťovne za SZČO</t>
  </si>
  <si>
    <t>Pokuty, penále, sankcie (ŠR)</t>
  </si>
  <si>
    <t>Pokuty z daňovej kontroly</t>
  </si>
  <si>
    <t>Pokuty vyrúbené štátnym dozorom</t>
  </si>
  <si>
    <t>Pokuty ŠOI</t>
  </si>
  <si>
    <t>Pokuty tel.úrad</t>
  </si>
  <si>
    <t>Administratívne poplaky</t>
  </si>
  <si>
    <t>Spotreba plynu v MWh</t>
  </si>
  <si>
    <t>Príjmy Marianum</t>
  </si>
  <si>
    <t>Príjmy ZOO BA</t>
  </si>
  <si>
    <t>Príjmy GMB</t>
  </si>
  <si>
    <t xml:space="preserve">Tržby DPB </t>
  </si>
  <si>
    <t>Tržby DPKE</t>
  </si>
  <si>
    <t>https://www.finstat.sk/31701914</t>
  </si>
  <si>
    <t>Tržby DPZI</t>
  </si>
  <si>
    <t>Tržby DPBB</t>
  </si>
  <si>
    <t>Tržby ostatné DP (odhad)</t>
  </si>
  <si>
    <t>Výber cla</t>
  </si>
  <si>
    <t>Pokuty, penále a iné sankcie (nedaňové príjmy ŠR a transfery)</t>
  </si>
  <si>
    <t>Sadzba DPH</t>
  </si>
  <si>
    <t>Priemerná spotreba piva v litroch na rok</t>
  </si>
  <si>
    <t>Priemerná spotreba liehu v litroch na rok</t>
  </si>
  <si>
    <t>Priemerná spotreba cigariet ks na rok</t>
  </si>
  <si>
    <t>Zostatok peňazí</t>
  </si>
  <si>
    <t>Výška príspevku na stravovanie</t>
  </si>
  <si>
    <t>http://statdat.statistics.sk/cognosext/cgi-bin/cognos.cgi?b_action=cognosViewer&amp;ui.action=run&amp;ui.object=storeID%28%22i362DCE4D88EC4E13A9EE8526B286D18B%22%29&amp;ui.name=Po%C4%8Det%20obyvate%C4%BEov%20pod%C4%BEa%20pohlavia%20-%20SR%2C%20oblasti%2C%20kraje%2C%20okresy%2C%20mesto%2C%20vidiek%20%28ro%C4%8Dne%29%20%5Bom7102rr%5D&amp;run.outputFormat=&amp;run.prompt=true&amp;cv.header=false&amp;ui.backURL=%2Fcognosext%2Fcps4%2Fportlets%2Fcommon%2Fclose.html&amp;run.outputLocale=sk</t>
  </si>
  <si>
    <t>https://eznamka.sk/selfcare/purchase/?sessionexpired=False&amp;frompayment=False&amp;sessionExpired=false&amp;frompayment=false&amp;screenWidth=1920&amp;agent=mozilla%2F5.0+(windows+nt+10.0%3B+win64%3B+x64)+applewebkit%2F537.36+(khtml%2C+like+gecko)+chrome%2F75.0.3770.100+safari%2F537.36</t>
  </si>
  <si>
    <t>https://www.finstat.sk/00492736/zavierka</t>
  </si>
  <si>
    <t>https://www.finstat.sk/36007099</t>
  </si>
  <si>
    <t>https://www.finstat.sk/36016411</t>
  </si>
  <si>
    <t>https://www.finance.gov.sk/sk/financie/statne-vykaznictvo/statny-zaverecny-ucet-sr/</t>
  </si>
  <si>
    <t>https://www.finstat.sk/00179710</t>
  </si>
  <si>
    <t>https://finstat.sk/17330190</t>
  </si>
  <si>
    <t>https://www.geotherm.sk/usetrit-za-vodu/</t>
  </si>
  <si>
    <t>https://www.minv.sk/?pocet-novoevidovanych-vozidiel</t>
  </si>
  <si>
    <t>https://www.minv.sk/?pocet-individualne-dovezenych-vozidiel</t>
  </si>
  <si>
    <t>https://www.minv.sk/?pocet-zmien-drzby-vozidiel</t>
  </si>
  <si>
    <t>https://www.financnasprava.sk/_img/pfsedit/Dokumenty_PFS/Zverejnovanie_dok/Sprievodca/Sprievodca_danami/2018/2018.01.12_SPRIEVODCA%20DANAMI_%20DPH.pdf</t>
  </si>
  <si>
    <t>http://www.epi.sk/zz/2004-98#p5</t>
  </si>
  <si>
    <t>http://www.svetdopravy.sk/moznost-podpory-refundacie-spotrebnej-dane-z-mineralnych-olejov-na-uzemi-slovenskej-republiky/</t>
  </si>
  <si>
    <t>https://www.spp.sk/sk/domacnosti/elektrina/ceny/cenniky-elektrickej-energie/</t>
  </si>
  <si>
    <t>https://www.nbs.sk/sk/statisticke-udaje/financne-institucie/banky/statisticke-udaje-penaznych-financnych-institucii</t>
  </si>
  <si>
    <t>Daňová sadzba (daň z príjmov)</t>
  </si>
  <si>
    <t>Počet pracovných dní (fond pracovného času)</t>
  </si>
  <si>
    <t>https://www.slov-lex.sk/pravne-predpisy/SK/ZZ/2004/580/</t>
  </si>
  <si>
    <t>kalkulačka</t>
  </si>
  <si>
    <t>Osobitne odvody (banky, poistovne, regulovane odv.)</t>
  </si>
  <si>
    <t>https://www.nbs.sk/sk/statisticke-udaje/financne-institucie/banky/statisticke-udaje-penaznych-financnych-institucii/vklady</t>
  </si>
  <si>
    <t>http://statdat.statistics.sk/cognosext/cgi-bin/cognos.cgi?b_action=cognosViewer&amp;ui.action=run&amp;ui.object=storeID(%22i42A8A014A687495596DC929810349606%22)&amp;ui.name=Pracuj%C3%BAci%20pod%C4%BEa%20veku%20%5Bpr3115qr%5D&amp;run.outputFormat=&amp;run.prompt=true&amp;cv.header=false&amp;ui.backURL=%2Fcognosext%2Fcps4%2Fportlets%2Fcommon%2Fclose.html&amp;run.outputLocale=sk</t>
  </si>
  <si>
    <t>Tržby ARRIVA NITRA a.s.</t>
  </si>
  <si>
    <t>https://finstat.sk/36545082</t>
  </si>
  <si>
    <t>https://www.nielsen.com/sk/sk/insights/article/2019/slovaks-smoke-from-year-to-year-more/</t>
  </si>
  <si>
    <t>https://www.vszp.sk/files/Vyr_spr/vyrocna-sprava-za-rok-2019.pdf</t>
  </si>
  <si>
    <t>Daň z poistenia</t>
  </si>
  <si>
    <t>položka</t>
  </si>
  <si>
    <t>https://www.sepsas.sk/Dokumenty/RocenkySed/ROCENKA_SED_2018.pdf</t>
  </si>
  <si>
    <t>zdroj_1</t>
  </si>
  <si>
    <t xml:space="preserve">Pošta - Predbežné čisté náklady univerzálnej služby </t>
  </si>
  <si>
    <t>https://www.financnasprava.sk//_img/pfsedit/Dokumenty_PFS/Zverejnovanie_dok/Statistiky/Statny_rozpocet/2019/2020.01.08_PrijmySR_2019_12.pdf</t>
  </si>
  <si>
    <t>Priemer PZP (v EUR)</t>
  </si>
  <si>
    <t>Ďialničná nálepka (v EUR)</t>
  </si>
  <si>
    <t>STK + Emisná kontrola (v EUR)</t>
  </si>
  <si>
    <t>Kontrola originality (v EUR)</t>
  </si>
  <si>
    <t>Koncesionársky poplatok (v EUR)</t>
  </si>
  <si>
    <t>Spotrebná daň z tabaku (priemerná spotreba 1290 ks/rok)</t>
  </si>
  <si>
    <t>Sadzba odvodu reťazcov</t>
  </si>
  <si>
    <t>https://www.slov-lex.sk/pravne-predpisy/SK/ZZ/2018/385/20190101.html</t>
  </si>
  <si>
    <t>Rekreačné poukazy</t>
  </si>
  <si>
    <t>Nezdaniteľná časť základu dane</t>
  </si>
  <si>
    <t>https://www.tpdcontrol.sk/cennik.html</t>
  </si>
  <si>
    <t>Príspevok zamestnávateľa na rekreáciu</t>
  </si>
  <si>
    <t>obciam</t>
  </si>
  <si>
    <t>Spotrebná daň z piva, (v mil. Eur), hotovostný princíp</t>
  </si>
  <si>
    <t>Spotrebná daň z liehu (v mil. Eur), hotovostný princíp</t>
  </si>
  <si>
    <t>Spotrebná daň z tabaku (v mil. Eur), hotovostný princíp</t>
  </si>
  <si>
    <t>Spotrebná daň z elektriny (v mil. Eur), hotovostný princíp</t>
  </si>
  <si>
    <t>Spotrebná daň zo zemného plynu (v mil. Eur), hotovostný princíp</t>
  </si>
  <si>
    <t>Spotrebná daň z minerálneho oleja (v mil. Eur), hotovostný princíp</t>
  </si>
  <si>
    <t>Daň z motorových vozidiel (v mil. Eur), hotovostný princíp</t>
  </si>
  <si>
    <t>https://www.slov-lex.sk/pravne-predpisy/SK/ZZ/2001/311/20200730.html</t>
  </si>
  <si>
    <t>https://www.mfsr.sk/sk/financie/statne-vykaznictvo/klucove-dokumenty-uctovne-zavierky/statny-zaverecny-ucet-sr/</t>
  </si>
  <si>
    <t>http://datacube.statistics.sk/#!/view/sk/VBD_SK_WIN/nu1024rs/v_nu1024rs_00_00_00_sk</t>
  </si>
  <si>
    <t>https://www.slaspo.sk/27722</t>
  </si>
  <si>
    <t>https://www.minv.sk/?zmena-vlastnictva-vozidla</t>
  </si>
  <si>
    <t>https://www.stkpezinok.sk/cennik-sluzieb-stk-pezinok</t>
  </si>
  <si>
    <t>https://www.teleoff.gov.sk/data/files/49811_vestnik7.pdf</t>
  </si>
  <si>
    <t>https://www.slov-lex.sk/pravne-predpisy/SK/ZZ/2008/68/20120901.html</t>
  </si>
  <si>
    <t>https://www.spp.sk/sk/domacnosti/elektrina/dokumenty-a-tlaciva-na-stiahnutie/</t>
  </si>
  <si>
    <t>https://www.spp.sk/sk/domacnosti/plyn/tarify-a-ceny/</t>
  </si>
  <si>
    <t>http://datacube.statistics.sk/#!/view/sk/VBD_INTERN/nu0008rs/v_nu0008rs_00_00_00_sk</t>
  </si>
  <si>
    <t>https://www.soi.sk/files/documents/vyrocne-spravy/2020/vs%202020_finalna%20verzia.pdf</t>
  </si>
  <si>
    <t>https://www.registeruz.sk/cruz-public/domain/accountingentity/show/231264#</t>
  </si>
  <si>
    <t>http://datacube.statistics.sk/#!/view/sk/VBD_SLOVSTAT/ps2041rs/v_ps2041rs_00_00_00_sk</t>
  </si>
  <si>
    <t>https://www.slov-lex.sk/pravne-predpisy/SK/ZZ/2003/595/20200101.html#paragraf-11</t>
  </si>
  <si>
    <t>8% podiel štátu na výnosoch z PZP je započítaný v rámci ostatných platieb podnikateľského sektora</t>
  </si>
  <si>
    <t>Celkový počet registrovaných vozidiel</t>
  </si>
  <si>
    <t>Priemerné PZP</t>
  </si>
  <si>
    <t>Počet evidovaných vozidiel spolu</t>
  </si>
  <si>
    <t>Celkom</t>
  </si>
  <si>
    <t>miestne dane a poplatky</t>
  </si>
  <si>
    <t>byty</t>
  </si>
  <si>
    <t>rodinné domy</t>
  </si>
  <si>
    <t>sadzba dane z nehnuteľností</t>
  </si>
  <si>
    <t>Bratislava (Ružinov)</t>
  </si>
  <si>
    <t>Trnava</t>
  </si>
  <si>
    <t>Nitra</t>
  </si>
  <si>
    <t>Trenčín</t>
  </si>
  <si>
    <t>Žilina</t>
  </si>
  <si>
    <t>Banská Bystrica</t>
  </si>
  <si>
    <t>Prešov</t>
  </si>
  <si>
    <t>Košice</t>
  </si>
  <si>
    <t>priemerná sadzba dane ročná</t>
  </si>
  <si>
    <t>poplatok za komunálny odpad</t>
  </si>
  <si>
    <t>Bratislava</t>
  </si>
  <si>
    <t>priemerná sadzba dane denná</t>
  </si>
  <si>
    <t>priemerná sadzba dane mesačná</t>
  </si>
  <si>
    <t>sadzba dane za psa</t>
  </si>
  <si>
    <t>https://calendar.zoznam.sk/worktime-sksk.php?hy=2021</t>
  </si>
  <si>
    <t>https://www.teleoff.gov.sk/data/files/50615_vyrocna-sprava_2020_final.pdf</t>
  </si>
  <si>
    <t>https://www.slov-lex.sk/pravne-predpisy/SK/ZZ/2003/461/20210101.html</t>
  </si>
  <si>
    <t>https://www.slov-lex.sk/pravne-predpisy/SK/ZZ/2004/43/20210101.html</t>
  </si>
  <si>
    <t>https://www.slov-lex.sk/pravne-predpisy/SK/ZZ/2003/595/20210101.html</t>
  </si>
  <si>
    <t>https://www.slov-lex.sk/pravne-predpisy/SK/ZZ/2004/564/20210101.html</t>
  </si>
  <si>
    <t>https://www.slov-lex.sk/pravne-predpisy/SK/ZZ/2001/311/20210101.html</t>
  </si>
  <si>
    <t>Daň z nehnuteľností (79% priemerný byt 71,5 m2 + 21% priemerný rodinný dom 120 m2)/m2/rok</t>
  </si>
  <si>
    <t>https://www.zssk.sk/wp-content/uploads/2021/10/Uctovna-zavierka-2020.pdf</t>
  </si>
  <si>
    <t>Predpísané poistné podľa LOB z výkazu S.05.01., Gross direct</t>
  </si>
  <si>
    <t>https://datacube.statistics.sk/#!/view/sk/VBD_SLOVSTAT/ps2041rs/v_ps2041rs_00_00_00_sk</t>
  </si>
  <si>
    <t>https://datacube.statistics.sk/#!/view/sk/VBD_SLOVSTAT/st2001rs/v_st2001rs_00_00_00_sk</t>
  </si>
  <si>
    <t>https://www.slaspo.sk/30778</t>
  </si>
  <si>
    <t>https://www.minv.sk/?spravne-poplatky-1</t>
  </si>
  <si>
    <t>https://www.socpoist.sk/socialne-poistenie/o-socialnej-poistovni/povinne-zverejnovanie/hospodarenie-socialnej-poistovne</t>
  </si>
  <si>
    <t>Tržby DP Trenčín</t>
  </si>
  <si>
    <t>Ostatné poplatky a platby podnik. Sektora</t>
  </si>
  <si>
    <t>https://www.slov-lex.sk/pravne-predpisy/SK/ZZ/2004/43/20230101.html</t>
  </si>
  <si>
    <t>https://www.financnasprava.sk//_img/pfsedit/Dokumenty_PFS/Zverejnovanie_dok/Statistiky/Statny_rozpocet/2023/2024.01.03_prijmy_SR_2023_12.pdf</t>
  </si>
  <si>
    <t>https://cdn-api.bratislava.sk/strapi-homepage/upload/Zaverecny_ucet_hlavneho_mesta_SR_Bratislavy_za_rok_2023_2371a2dabb.pdf</t>
  </si>
  <si>
    <t>Výnos z dane z príjmu FO ESA2010</t>
  </si>
  <si>
    <t>Výdavky verejnej správy ESA2010</t>
  </si>
  <si>
    <t>Osobitne odvody (banky, poistovne, regulovane odv.) ESA2010</t>
  </si>
  <si>
    <t>Odvody do zdravotnej poistovne za samostatne zárobkovo činné osoby (0.99)</t>
  </si>
  <si>
    <t>Odvody do zdravotnej poistovne za samostatne zárobkovo činné osoby (0.01)</t>
  </si>
  <si>
    <t>Daň z príjmov právnických osôb, (v mil. Eur), ESA2010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</si>
</sst>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0.0000"/>
    <numFmt numFmtId="167" formatCode="0.00000"/>
    <numFmt numFmtId="168" formatCode="&quot; &quot;* #,##0&quot;   &quot;;&quot;-&quot;* #,##0&quot;   &quot;;&quot; &quot;* &quot;-&quot;??&quot;   &quot;"/>
    <numFmt numFmtId="169" formatCode="0.0%"/>
    <numFmt numFmtId="170" formatCode="&quot; &quot;* #,##0.00&quot;   &quot;;&quot;-&quot;* #,##0.00&quot;   &quot;;&quot; &quot;* &quot;-&quot;??&quot;   &quot;"/>
    <numFmt numFmtId="171" formatCode="&quot; &quot;* #,##0.0&quot;   &quot;;&quot;-&quot;* #,##0.0&quot;   &quot;;&quot; &quot;* &quot;-&quot;??&quot;   &quot;"/>
    <numFmt numFmtId="172" formatCode="0.0000%"/>
    <numFmt numFmtId="173" formatCode="0.000"/>
  </numFmts>
  <fonts count="52">
    <font>
      <sz val="11"/>
      <color indexed="8"/>
      <name val="Calibri"/>
    </font>
    <font>
      <sz val="11"/>
      <color theme="1"/>
      <name val="Helvetica Neue"/>
      <family val="2"/>
      <charset val="238"/>
      <scheme val="minor"/>
    </font>
    <font>
      <sz val="11"/>
      <color theme="1"/>
      <name val="Helvetica Neue"/>
      <family val="2"/>
      <charset val="238"/>
      <scheme val="minor"/>
    </font>
    <font>
      <sz val="11"/>
      <color theme="1"/>
      <name val="Helvetica Neue"/>
      <family val="2"/>
      <charset val="238"/>
      <scheme val="minor"/>
    </font>
    <font>
      <sz val="11"/>
      <color theme="1"/>
      <name val="Helvetica Neue"/>
      <family val="2"/>
      <charset val="238"/>
      <scheme val="minor"/>
    </font>
    <font>
      <sz val="11"/>
      <color theme="1"/>
      <name val="Helvetica Neue"/>
      <family val="2"/>
      <charset val="238"/>
      <scheme val="minor"/>
    </font>
    <font>
      <sz val="11"/>
      <color theme="1"/>
      <name val="Helvetica Neue"/>
      <family val="2"/>
      <charset val="238"/>
      <scheme val="minor"/>
    </font>
    <font>
      <sz val="11"/>
      <color theme="1"/>
      <name val="Helvetica Neue"/>
      <family val="2"/>
      <charset val="238"/>
      <scheme val="minor"/>
    </font>
    <font>
      <b/>
      <sz val="10"/>
      <color indexed="8"/>
      <name val="Arial Narrow"/>
      <family val="2"/>
    </font>
    <font>
      <sz val="11"/>
      <color indexed="8"/>
      <name val="Arial Narrow"/>
      <family val="2"/>
    </font>
    <font>
      <b/>
      <i/>
      <sz val="7"/>
      <color indexed="8"/>
      <name val="Arial Narrow"/>
      <family val="2"/>
    </font>
    <font>
      <i/>
      <sz val="7"/>
      <color indexed="8"/>
      <name val="Arial Narrow"/>
      <family val="2"/>
    </font>
    <font>
      <i/>
      <sz val="8"/>
      <color indexed="8"/>
      <name val="Arial"/>
      <family val="2"/>
    </font>
    <font>
      <sz val="7"/>
      <color indexed="12"/>
      <name val="Arial Narrow"/>
      <family val="2"/>
    </font>
    <font>
      <b/>
      <sz val="7"/>
      <color indexed="8"/>
      <name val="Arial Narrow"/>
      <family val="2"/>
    </font>
    <font>
      <b/>
      <sz val="8"/>
      <color indexed="8"/>
      <name val="Arial"/>
      <family val="2"/>
    </font>
    <font>
      <sz val="7"/>
      <color indexed="8"/>
      <name val="Arial Narrow"/>
      <family val="2"/>
    </font>
    <font>
      <u/>
      <sz val="11"/>
      <color indexed="13"/>
      <name val="Calibri"/>
      <family val="2"/>
    </font>
    <font>
      <i/>
      <sz val="6"/>
      <color indexed="8"/>
      <name val="Arial Narrow"/>
      <family val="2"/>
    </font>
    <font>
      <b/>
      <sz val="9"/>
      <color indexed="8"/>
      <name val="Arial Narrow"/>
      <family val="2"/>
    </font>
    <font>
      <u/>
      <sz val="11"/>
      <color theme="10"/>
      <name val="Calibri"/>
      <family val="2"/>
      <charset val="238"/>
    </font>
    <font>
      <sz val="11"/>
      <color rgb="FF9C6500"/>
      <name val="Helvetica Neue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  <charset val="238"/>
    </font>
    <font>
      <b/>
      <sz val="18"/>
      <color theme="3"/>
      <name val="Helvetica Neue"/>
      <family val="2"/>
      <charset val="238"/>
      <scheme val="major"/>
    </font>
    <font>
      <b/>
      <sz val="15"/>
      <color theme="3"/>
      <name val="Helvetica Neue"/>
      <family val="2"/>
      <charset val="238"/>
      <scheme val="minor"/>
    </font>
    <font>
      <b/>
      <sz val="13"/>
      <color theme="3"/>
      <name val="Helvetica Neue"/>
      <family val="2"/>
      <charset val="238"/>
      <scheme val="minor"/>
    </font>
    <font>
      <b/>
      <sz val="11"/>
      <color theme="3"/>
      <name val="Helvetica Neue"/>
      <family val="2"/>
      <charset val="238"/>
      <scheme val="minor"/>
    </font>
    <font>
      <sz val="11"/>
      <color rgb="FF006100"/>
      <name val="Helvetica Neue"/>
      <family val="2"/>
      <charset val="238"/>
      <scheme val="minor"/>
    </font>
    <font>
      <sz val="11"/>
      <color rgb="FF9C0006"/>
      <name val="Helvetica Neue"/>
      <family val="2"/>
      <charset val="238"/>
      <scheme val="minor"/>
    </font>
    <font>
      <sz val="11"/>
      <color rgb="FF3F3F76"/>
      <name val="Helvetica Neue"/>
      <family val="2"/>
      <charset val="238"/>
      <scheme val="minor"/>
    </font>
    <font>
      <b/>
      <sz val="11"/>
      <color rgb="FF3F3F3F"/>
      <name val="Helvetica Neue"/>
      <family val="2"/>
      <charset val="238"/>
      <scheme val="minor"/>
    </font>
    <font>
      <b/>
      <sz val="11"/>
      <color rgb="FFFA7D00"/>
      <name val="Helvetica Neue"/>
      <family val="2"/>
      <charset val="238"/>
      <scheme val="minor"/>
    </font>
    <font>
      <sz val="11"/>
      <color rgb="FFFA7D00"/>
      <name val="Helvetica Neue"/>
      <family val="2"/>
      <charset val="238"/>
      <scheme val="minor"/>
    </font>
    <font>
      <b/>
      <sz val="11"/>
      <color theme="0"/>
      <name val="Helvetica Neue"/>
      <family val="2"/>
      <charset val="238"/>
      <scheme val="minor"/>
    </font>
    <font>
      <sz val="11"/>
      <color rgb="FFFF0000"/>
      <name val="Helvetica Neue"/>
      <family val="2"/>
      <charset val="238"/>
      <scheme val="minor"/>
    </font>
    <font>
      <i/>
      <sz val="11"/>
      <color rgb="FF7F7F7F"/>
      <name val="Helvetica Neue"/>
      <family val="2"/>
      <charset val="238"/>
      <scheme val="minor"/>
    </font>
    <font>
      <b/>
      <sz val="11"/>
      <color theme="1"/>
      <name val="Helvetica Neue"/>
      <family val="2"/>
      <charset val="238"/>
      <scheme val="minor"/>
    </font>
    <font>
      <sz val="11"/>
      <color theme="0"/>
      <name val="Helvetica Neue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charset val="238"/>
    </font>
    <font>
      <sz val="11"/>
      <color theme="1"/>
      <name val="Helvetica Neue"/>
      <family val="2"/>
      <scheme val="minor"/>
    </font>
    <font>
      <b/>
      <sz val="7"/>
      <color indexed="8"/>
      <name val="Arial Narrow"/>
      <family val="2"/>
      <charset val="238"/>
    </font>
    <font>
      <sz val="7"/>
      <color indexed="8"/>
      <name val="Arial Narrow"/>
      <family val="2"/>
      <charset val="238"/>
    </font>
    <font>
      <sz val="11"/>
      <name val="Times New Roman"/>
      <family val="1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5"/>
        <bgColor auto="1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solid">
        <fgColor rgb="FFA0E6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6">
    <xf numFmtId="0" fontId="0" fillId="0" borderId="0" applyNumberFormat="0" applyFill="0" applyBorder="0" applyProtection="0"/>
    <xf numFmtId="0" fontId="20" fillId="0" borderId="0" applyNumberFormat="0" applyFill="0" applyBorder="0" applyAlignment="0" applyProtection="0"/>
    <xf numFmtId="0" fontId="7" fillId="0" borderId="7"/>
    <xf numFmtId="0" fontId="25" fillId="0" borderId="7"/>
    <xf numFmtId="9" fontId="25" fillId="0" borderId="7" applyFont="0" applyFill="0" applyBorder="0" applyAlignment="0" applyProtection="0"/>
    <xf numFmtId="44" fontId="25" fillId="0" borderId="7" applyFont="0" applyFill="0" applyBorder="0" applyAlignment="0" applyProtection="0"/>
    <xf numFmtId="42" fontId="25" fillId="0" borderId="7" applyFont="0" applyFill="0" applyBorder="0" applyAlignment="0" applyProtection="0"/>
    <xf numFmtId="165" fontId="25" fillId="0" borderId="7" applyFont="0" applyFill="0" applyBorder="0" applyAlignment="0" applyProtection="0"/>
    <xf numFmtId="164" fontId="25" fillId="0" borderId="7" applyFont="0" applyFill="0" applyBorder="0" applyAlignment="0" applyProtection="0"/>
    <xf numFmtId="0" fontId="27" fillId="0" borderId="7"/>
    <xf numFmtId="0" fontId="27" fillId="0" borderId="7"/>
    <xf numFmtId="0" fontId="27" fillId="0" borderId="7"/>
    <xf numFmtId="0" fontId="27" fillId="0" borderId="7"/>
    <xf numFmtId="9" fontId="27" fillId="0" borderId="7" applyFont="0" applyFill="0" applyBorder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4" fillId="8" borderId="13" applyNumberFormat="0" applyAlignment="0" applyProtection="0"/>
    <xf numFmtId="0" fontId="35" fillId="9" borderId="14" applyNumberFormat="0" applyAlignment="0" applyProtection="0"/>
    <xf numFmtId="0" fontId="36" fillId="9" borderId="13" applyNumberFormat="0" applyAlignment="0" applyProtection="0"/>
    <xf numFmtId="0" fontId="37" fillId="0" borderId="15" applyNumberFormat="0" applyFill="0" applyAlignment="0" applyProtection="0"/>
    <xf numFmtId="0" fontId="38" fillId="10" borderId="16" applyNumberFormat="0" applyAlignment="0" applyProtection="0"/>
    <xf numFmtId="0" fontId="41" fillId="0" borderId="18" applyNumberFormat="0" applyFill="0" applyAlignment="0" applyProtection="0"/>
    <xf numFmtId="0" fontId="22" fillId="0" borderId="7"/>
    <xf numFmtId="9" fontId="6" fillId="0" borderId="7" applyFont="0" applyFill="0" applyBorder="0" applyAlignment="0" applyProtection="0"/>
    <xf numFmtId="0" fontId="28" fillId="0" borderId="7" applyNumberFormat="0" applyFill="0" applyBorder="0" applyAlignment="0" applyProtection="0"/>
    <xf numFmtId="0" fontId="31" fillId="0" borderId="7" applyNumberFormat="0" applyFill="0" applyBorder="0" applyAlignment="0" applyProtection="0"/>
    <xf numFmtId="0" fontId="32" fillId="6" borderId="7" applyNumberFormat="0" applyBorder="0" applyAlignment="0" applyProtection="0"/>
    <xf numFmtId="0" fontId="33" fillId="7" borderId="7" applyNumberFormat="0" applyBorder="0" applyAlignment="0" applyProtection="0"/>
    <xf numFmtId="0" fontId="21" fillId="5" borderId="7" applyNumberFormat="0" applyBorder="0" applyAlignment="0" applyProtection="0"/>
    <xf numFmtId="0" fontId="39" fillId="0" borderId="7" applyNumberFormat="0" applyFill="0" applyBorder="0" applyAlignment="0" applyProtection="0"/>
    <xf numFmtId="0" fontId="6" fillId="11" borderId="17" applyNumberFormat="0" applyFont="0" applyAlignment="0" applyProtection="0"/>
    <xf numFmtId="0" fontId="40" fillId="0" borderId="7" applyNumberFormat="0" applyFill="0" applyBorder="0" applyAlignment="0" applyProtection="0"/>
    <xf numFmtId="0" fontId="42" fillId="12" borderId="7" applyNumberFormat="0" applyBorder="0" applyAlignment="0" applyProtection="0"/>
    <xf numFmtId="0" fontId="6" fillId="13" borderId="7" applyNumberFormat="0" applyBorder="0" applyAlignment="0" applyProtection="0"/>
    <xf numFmtId="0" fontId="6" fillId="14" borderId="7" applyNumberFormat="0" applyBorder="0" applyAlignment="0" applyProtection="0"/>
    <xf numFmtId="0" fontId="42" fillId="15" borderId="7" applyNumberFormat="0" applyBorder="0" applyAlignment="0" applyProtection="0"/>
    <xf numFmtId="0" fontId="42" fillId="16" borderId="7" applyNumberFormat="0" applyBorder="0" applyAlignment="0" applyProtection="0"/>
    <xf numFmtId="0" fontId="6" fillId="17" borderId="7" applyNumberFormat="0" applyBorder="0" applyAlignment="0" applyProtection="0"/>
    <xf numFmtId="0" fontId="6" fillId="18" borderId="7" applyNumberFormat="0" applyBorder="0" applyAlignment="0" applyProtection="0"/>
    <xf numFmtId="0" fontId="42" fillId="19" borderId="7" applyNumberFormat="0" applyBorder="0" applyAlignment="0" applyProtection="0"/>
    <xf numFmtId="0" fontId="42" fillId="20" borderId="7" applyNumberFormat="0" applyBorder="0" applyAlignment="0" applyProtection="0"/>
    <xf numFmtId="0" fontId="6" fillId="21" borderId="7" applyNumberFormat="0" applyBorder="0" applyAlignment="0" applyProtection="0"/>
    <xf numFmtId="0" fontId="6" fillId="22" borderId="7" applyNumberFormat="0" applyBorder="0" applyAlignment="0" applyProtection="0"/>
    <xf numFmtId="0" fontId="42" fillId="23" borderId="7" applyNumberFormat="0" applyBorder="0" applyAlignment="0" applyProtection="0"/>
    <xf numFmtId="0" fontId="42" fillId="24" borderId="7" applyNumberFormat="0" applyBorder="0" applyAlignment="0" applyProtection="0"/>
    <xf numFmtId="0" fontId="6" fillId="25" borderId="7" applyNumberFormat="0" applyBorder="0" applyAlignment="0" applyProtection="0"/>
    <xf numFmtId="0" fontId="6" fillId="26" borderId="7" applyNumberFormat="0" applyBorder="0" applyAlignment="0" applyProtection="0"/>
    <xf numFmtId="0" fontId="42" fillId="27" borderId="7" applyNumberFormat="0" applyBorder="0" applyAlignment="0" applyProtection="0"/>
    <xf numFmtId="0" fontId="42" fillId="28" borderId="7" applyNumberFormat="0" applyBorder="0" applyAlignment="0" applyProtection="0"/>
    <xf numFmtId="0" fontId="6" fillId="29" borderId="7" applyNumberFormat="0" applyBorder="0" applyAlignment="0" applyProtection="0"/>
    <xf numFmtId="0" fontId="6" fillId="30" borderId="7" applyNumberFormat="0" applyBorder="0" applyAlignment="0" applyProtection="0"/>
    <xf numFmtId="0" fontId="42" fillId="31" borderId="7" applyNumberFormat="0" applyBorder="0" applyAlignment="0" applyProtection="0"/>
    <xf numFmtId="0" fontId="42" fillId="32" borderId="7" applyNumberFormat="0" applyBorder="0" applyAlignment="0" applyProtection="0"/>
    <xf numFmtId="0" fontId="6" fillId="33" borderId="7" applyNumberFormat="0" applyBorder="0" applyAlignment="0" applyProtection="0"/>
    <xf numFmtId="0" fontId="6" fillId="34" borderId="7" applyNumberFormat="0" applyBorder="0" applyAlignment="0" applyProtection="0"/>
    <xf numFmtId="0" fontId="42" fillId="35" borderId="7" applyNumberFormat="0" applyBorder="0" applyAlignment="0" applyProtection="0"/>
    <xf numFmtId="0" fontId="6" fillId="0" borderId="7"/>
    <xf numFmtId="9" fontId="22" fillId="0" borderId="7" applyFont="0" applyFill="0" applyBorder="0" applyAlignment="0" applyProtection="0"/>
    <xf numFmtId="0" fontId="43" fillId="0" borderId="7" applyNumberFormat="0" applyFill="0" applyBorder="0" applyAlignment="0" applyProtection="0"/>
    <xf numFmtId="0" fontId="22" fillId="0" borderId="7" applyNumberFormat="0" applyFill="0" applyBorder="0" applyProtection="0"/>
    <xf numFmtId="0" fontId="5" fillId="0" borderId="7"/>
    <xf numFmtId="0" fontId="44" fillId="0" borderId="7"/>
    <xf numFmtId="0" fontId="27" fillId="0" borderId="7"/>
    <xf numFmtId="0" fontId="46" fillId="0" borderId="7" applyNumberFormat="0" applyFill="0" applyBorder="0" applyProtection="0"/>
    <xf numFmtId="0" fontId="20" fillId="0" borderId="7" applyNumberFormat="0" applyFill="0" applyBorder="0" applyAlignment="0" applyProtection="0"/>
    <xf numFmtId="0" fontId="4" fillId="13" borderId="7" applyNumberFormat="0" applyBorder="0" applyAlignment="0" applyProtection="0"/>
    <xf numFmtId="0" fontId="4" fillId="17" borderId="7" applyNumberFormat="0" applyBorder="0" applyAlignment="0" applyProtection="0"/>
    <xf numFmtId="0" fontId="4" fillId="21" borderId="7" applyNumberFormat="0" applyBorder="0" applyAlignment="0" applyProtection="0"/>
    <xf numFmtId="0" fontId="4" fillId="25" borderId="7" applyNumberFormat="0" applyBorder="0" applyAlignment="0" applyProtection="0"/>
    <xf numFmtId="0" fontId="4" fillId="29" borderId="7" applyNumberFormat="0" applyBorder="0" applyAlignment="0" applyProtection="0"/>
    <xf numFmtId="0" fontId="4" fillId="33" borderId="7" applyNumberFormat="0" applyBorder="0" applyAlignment="0" applyProtection="0"/>
    <xf numFmtId="0" fontId="4" fillId="14" borderId="7" applyNumberFormat="0" applyBorder="0" applyAlignment="0" applyProtection="0"/>
    <xf numFmtId="0" fontId="4" fillId="18" borderId="7" applyNumberFormat="0" applyBorder="0" applyAlignment="0" applyProtection="0"/>
    <xf numFmtId="0" fontId="4" fillId="22" borderId="7" applyNumberFormat="0" applyBorder="0" applyAlignment="0" applyProtection="0"/>
    <xf numFmtId="0" fontId="4" fillId="26" borderId="7" applyNumberFormat="0" applyBorder="0" applyAlignment="0" applyProtection="0"/>
    <xf numFmtId="0" fontId="4" fillId="30" borderId="7" applyNumberFormat="0" applyBorder="0" applyAlignment="0" applyProtection="0"/>
    <xf numFmtId="0" fontId="4" fillId="34" borderId="7" applyNumberFormat="0" applyBorder="0" applyAlignment="0" applyProtection="0"/>
    <xf numFmtId="0" fontId="45" fillId="0" borderId="7"/>
    <xf numFmtId="0" fontId="48" fillId="0" borderId="7"/>
    <xf numFmtId="0" fontId="4" fillId="0" borderId="7"/>
    <xf numFmtId="0" fontId="27" fillId="0" borderId="7"/>
    <xf numFmtId="0" fontId="4" fillId="11" borderId="17" applyNumberFormat="0" applyFont="0" applyAlignment="0" applyProtection="0"/>
    <xf numFmtId="0" fontId="3" fillId="11" borderId="17" applyNumberFormat="0" applyFont="0" applyAlignment="0" applyProtection="0"/>
    <xf numFmtId="0" fontId="3" fillId="13" borderId="7" applyNumberFormat="0" applyBorder="0" applyAlignment="0" applyProtection="0"/>
    <xf numFmtId="0" fontId="3" fillId="14" borderId="7" applyNumberFormat="0" applyBorder="0" applyAlignment="0" applyProtection="0"/>
    <xf numFmtId="0" fontId="3" fillId="17" borderId="7" applyNumberFormat="0" applyBorder="0" applyAlignment="0" applyProtection="0"/>
    <xf numFmtId="0" fontId="3" fillId="18" borderId="7" applyNumberFormat="0" applyBorder="0" applyAlignment="0" applyProtection="0"/>
    <xf numFmtId="0" fontId="3" fillId="21" borderId="7" applyNumberFormat="0" applyBorder="0" applyAlignment="0" applyProtection="0"/>
    <xf numFmtId="0" fontId="3" fillId="22" borderId="7" applyNumberFormat="0" applyBorder="0" applyAlignment="0" applyProtection="0"/>
    <xf numFmtId="0" fontId="3" fillId="25" borderId="7" applyNumberFormat="0" applyBorder="0" applyAlignment="0" applyProtection="0"/>
    <xf numFmtId="0" fontId="3" fillId="26" borderId="7" applyNumberFormat="0" applyBorder="0" applyAlignment="0" applyProtection="0"/>
    <xf numFmtId="0" fontId="3" fillId="29" borderId="7" applyNumberFormat="0" applyBorder="0" applyAlignment="0" applyProtection="0"/>
    <xf numFmtId="0" fontId="3" fillId="30" borderId="7" applyNumberFormat="0" applyBorder="0" applyAlignment="0" applyProtection="0"/>
    <xf numFmtId="0" fontId="3" fillId="33" borderId="7" applyNumberFormat="0" applyBorder="0" applyAlignment="0" applyProtection="0"/>
    <xf numFmtId="0" fontId="3" fillId="34" borderId="7" applyNumberFormat="0" applyBorder="0" applyAlignment="0" applyProtection="0"/>
    <xf numFmtId="0" fontId="25" fillId="0" borderId="7"/>
    <xf numFmtId="0" fontId="2" fillId="11" borderId="17" applyNumberFormat="0" applyFont="0" applyAlignment="0" applyProtection="0"/>
    <xf numFmtId="0" fontId="2" fillId="13" borderId="7" applyNumberFormat="0" applyBorder="0" applyAlignment="0" applyProtection="0"/>
    <xf numFmtId="0" fontId="2" fillId="14" borderId="7" applyNumberFormat="0" applyBorder="0" applyAlignment="0" applyProtection="0"/>
    <xf numFmtId="0" fontId="2" fillId="17" borderId="7" applyNumberFormat="0" applyBorder="0" applyAlignment="0" applyProtection="0"/>
    <xf numFmtId="0" fontId="2" fillId="18" borderId="7" applyNumberFormat="0" applyBorder="0" applyAlignment="0" applyProtection="0"/>
    <xf numFmtId="0" fontId="2" fillId="21" borderId="7" applyNumberFormat="0" applyBorder="0" applyAlignment="0" applyProtection="0"/>
    <xf numFmtId="0" fontId="2" fillId="22" borderId="7" applyNumberFormat="0" applyBorder="0" applyAlignment="0" applyProtection="0"/>
    <xf numFmtId="0" fontId="2" fillId="25" borderId="7" applyNumberFormat="0" applyBorder="0" applyAlignment="0" applyProtection="0"/>
    <xf numFmtId="0" fontId="2" fillId="26" borderId="7" applyNumberFormat="0" applyBorder="0" applyAlignment="0" applyProtection="0"/>
    <xf numFmtId="0" fontId="2" fillId="29" borderId="7" applyNumberFormat="0" applyBorder="0" applyAlignment="0" applyProtection="0"/>
    <xf numFmtId="0" fontId="2" fillId="30" borderId="7" applyNumberFormat="0" applyBorder="0" applyAlignment="0" applyProtection="0"/>
    <xf numFmtId="0" fontId="2" fillId="33" borderId="7" applyNumberFormat="0" applyBorder="0" applyAlignment="0" applyProtection="0"/>
    <xf numFmtId="0" fontId="2" fillId="34" borderId="7" applyNumberFormat="0" applyBorder="0" applyAlignment="0" applyProtection="0"/>
    <xf numFmtId="9" fontId="46" fillId="0" borderId="7" applyFont="0" applyFill="0" applyBorder="0" applyAlignment="0" applyProtection="0"/>
    <xf numFmtId="0" fontId="20" fillId="0" borderId="7" applyNumberFormat="0" applyFill="0" applyBorder="0" applyAlignment="0" applyProtection="0"/>
    <xf numFmtId="0" fontId="44" fillId="0" borderId="7"/>
    <xf numFmtId="0" fontId="1" fillId="0" borderId="7"/>
    <xf numFmtId="0" fontId="44" fillId="0" borderId="7"/>
    <xf numFmtId="0" fontId="51" fillId="0" borderId="7"/>
  </cellStyleXfs>
  <cellXfs count="173">
    <xf numFmtId="0" fontId="0" fillId="0" borderId="0" xfId="0"/>
    <xf numFmtId="0" fontId="0" fillId="0" borderId="0" xfId="0" applyNumberFormat="1"/>
    <xf numFmtId="0" fontId="0" fillId="2" borderId="1" xfId="0" applyFill="1" applyBorder="1" applyAlignment="1">
      <alignment vertical="top" wrapText="1"/>
    </xf>
    <xf numFmtId="49" fontId="12" fillId="3" borderId="3" xfId="0" applyNumberFormat="1" applyFont="1" applyFill="1" applyBorder="1" applyAlignment="1">
      <alignment horizontal="left" vertical="top" wrapText="1"/>
    </xf>
    <xf numFmtId="2" fontId="15" fillId="2" borderId="3" xfId="0" applyNumberFormat="1" applyFont="1" applyFill="1" applyBorder="1" applyAlignment="1">
      <alignment horizontal="left" vertical="top" wrapText="1"/>
    </xf>
    <xf numFmtId="10" fontId="16" fillId="0" borderId="7" xfId="0" applyNumberFormat="1" applyFont="1" applyBorder="1"/>
    <xf numFmtId="2" fontId="16" fillId="2" borderId="7" xfId="0" applyNumberFormat="1" applyFont="1" applyFill="1" applyBorder="1"/>
    <xf numFmtId="2" fontId="0" fillId="2" borderId="3" xfId="0" applyNumberFormat="1" applyFill="1" applyBorder="1" applyAlignment="1">
      <alignment vertical="top" wrapText="1"/>
    </xf>
    <xf numFmtId="49" fontId="17" fillId="2" borderId="3" xfId="0" applyNumberFormat="1" applyFont="1" applyFill="1" applyBorder="1" applyAlignment="1">
      <alignment wrapText="1"/>
    </xf>
    <xf numFmtId="0" fontId="0" fillId="2" borderId="3" xfId="0" applyFill="1" applyBorder="1" applyAlignment="1">
      <alignment vertical="top"/>
    </xf>
    <xf numFmtId="49" fontId="0" fillId="2" borderId="3" xfId="0" applyNumberFormat="1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49" fontId="17" fillId="2" borderId="3" xfId="0" applyNumberFormat="1" applyFont="1" applyFill="1" applyBorder="1" applyAlignment="1">
      <alignment horizontal="left" vertical="top" wrapText="1"/>
    </xf>
    <xf numFmtId="0" fontId="11" fillId="0" borderId="5" xfId="0" applyFont="1" applyBorder="1"/>
    <xf numFmtId="0" fontId="16" fillId="0" borderId="5" xfId="0" applyFont="1" applyBorder="1"/>
    <xf numFmtId="0" fontId="11" fillId="0" borderId="2" xfId="0" applyFont="1" applyBorder="1"/>
    <xf numFmtId="0" fontId="16" fillId="2" borderId="7" xfId="0" applyFont="1" applyFill="1" applyBorder="1" applyAlignment="1">
      <alignment horizontal="right"/>
    </xf>
    <xf numFmtId="0" fontId="16" fillId="0" borderId="7" xfId="0" applyFont="1" applyBorder="1"/>
    <xf numFmtId="0" fontId="0" fillId="0" borderId="6" xfId="0" applyBorder="1"/>
    <xf numFmtId="0" fontId="11" fillId="0" borderId="7" xfId="0" applyFont="1" applyBorder="1"/>
    <xf numFmtId="0" fontId="16" fillId="2" borderId="7" xfId="0" applyFont="1" applyFill="1" applyBorder="1"/>
    <xf numFmtId="0" fontId="10" fillId="0" borderId="2" xfId="0" applyFont="1" applyBorder="1"/>
    <xf numFmtId="49" fontId="10" fillId="0" borderId="2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horizontal="right"/>
    </xf>
    <xf numFmtId="10" fontId="16" fillId="2" borderId="5" xfId="0" applyNumberFormat="1" applyFont="1" applyFill="1" applyBorder="1"/>
    <xf numFmtId="10" fontId="16" fillId="2" borderId="7" xfId="0" applyNumberFormat="1" applyFont="1" applyFill="1" applyBorder="1"/>
    <xf numFmtId="10" fontId="16" fillId="2" borderId="2" xfId="0" applyNumberFormat="1" applyFont="1" applyFill="1" applyBorder="1"/>
    <xf numFmtId="2" fontId="14" fillId="0" borderId="5" xfId="0" applyNumberFormat="1" applyFont="1" applyBorder="1"/>
    <xf numFmtId="10" fontId="14" fillId="2" borderId="5" xfId="0" applyNumberFormat="1" applyFont="1" applyFill="1" applyBorder="1"/>
    <xf numFmtId="0" fontId="0" fillId="0" borderId="7" xfId="0" applyBorder="1"/>
    <xf numFmtId="0" fontId="0" fillId="2" borderId="7" xfId="0" applyFill="1" applyBorder="1"/>
    <xf numFmtId="49" fontId="0" fillId="4" borderId="6" xfId="0" applyNumberFormat="1" applyFill="1" applyBorder="1"/>
    <xf numFmtId="49" fontId="17" fillId="0" borderId="7" xfId="0" applyNumberFormat="1" applyFont="1" applyBorder="1"/>
    <xf numFmtId="49" fontId="0" fillId="0" borderId="7" xfId="0" applyNumberFormat="1" applyBorder="1"/>
    <xf numFmtId="49" fontId="0" fillId="2" borderId="7" xfId="0" applyNumberFormat="1" applyFill="1" applyBorder="1"/>
    <xf numFmtId="0" fontId="0" fillId="2" borderId="8" xfId="0" applyFill="1" applyBorder="1"/>
    <xf numFmtId="0" fontId="0" fillId="0" borderId="8" xfId="0" applyBorder="1"/>
    <xf numFmtId="0" fontId="0" fillId="2" borderId="9" xfId="0" applyFill="1" applyBorder="1" applyAlignment="1">
      <alignment vertical="top" wrapText="1"/>
    </xf>
    <xf numFmtId="49" fontId="20" fillId="0" borderId="7" xfId="1" applyNumberFormat="1" applyBorder="1" applyAlignment="1"/>
    <xf numFmtId="0" fontId="22" fillId="2" borderId="7" xfId="0" applyFont="1" applyFill="1" applyBorder="1"/>
    <xf numFmtId="0" fontId="22" fillId="0" borderId="0" xfId="0" applyNumberFormat="1" applyFont="1"/>
    <xf numFmtId="49" fontId="22" fillId="4" borderId="6" xfId="0" applyNumberFormat="1" applyFont="1" applyFill="1" applyBorder="1"/>
    <xf numFmtId="0" fontId="23" fillId="0" borderId="7" xfId="0" applyFont="1" applyBorder="1"/>
    <xf numFmtId="0" fontId="23" fillId="0" borderId="6" xfId="0" applyFont="1" applyBorder="1"/>
    <xf numFmtId="171" fontId="0" fillId="0" borderId="7" xfId="0" applyNumberFormat="1" applyFill="1" applyBorder="1" applyAlignment="1">
      <alignment horizontal="left" wrapText="1"/>
    </xf>
    <xf numFmtId="167" fontId="16" fillId="0" borderId="7" xfId="0" applyNumberFormat="1" applyFont="1" applyFill="1" applyBorder="1"/>
    <xf numFmtId="2" fontId="16" fillId="0" borderId="7" xfId="0" applyNumberFormat="1" applyFont="1" applyFill="1" applyBorder="1" applyAlignment="1">
      <alignment horizontal="right"/>
    </xf>
    <xf numFmtId="49" fontId="11" fillId="0" borderId="2" xfId="0" applyNumberFormat="1" applyFont="1" applyFill="1" applyBorder="1" applyAlignment="1">
      <alignment horizontal="right" wrapText="1"/>
    </xf>
    <xf numFmtId="0" fontId="11" fillId="0" borderId="4" xfId="0" applyFont="1" applyFill="1" applyBorder="1"/>
    <xf numFmtId="0" fontId="13" fillId="0" borderId="4" xfId="0" applyFont="1" applyFill="1" applyBorder="1"/>
    <xf numFmtId="9" fontId="13" fillId="0" borderId="4" xfId="0" applyNumberFormat="1" applyFont="1" applyFill="1" applyBorder="1"/>
    <xf numFmtId="2" fontId="13" fillId="0" borderId="4" xfId="0" applyNumberFormat="1" applyFont="1" applyFill="1" applyBorder="1" applyAlignment="1">
      <alignment horizontal="right"/>
    </xf>
    <xf numFmtId="49" fontId="11" fillId="0" borderId="5" xfId="0" applyNumberFormat="1" applyFont="1" applyFill="1" applyBorder="1" applyAlignment="1">
      <alignment horizontal="right"/>
    </xf>
    <xf numFmtId="10" fontId="16" fillId="0" borderId="5" xfId="0" applyNumberFormat="1" applyFont="1" applyFill="1" applyBorder="1"/>
    <xf numFmtId="2" fontId="16" fillId="0" borderId="5" xfId="0" applyNumberFormat="1" applyFont="1" applyFill="1" applyBorder="1"/>
    <xf numFmtId="49" fontId="11" fillId="0" borderId="7" xfId="0" applyNumberFormat="1" applyFont="1" applyFill="1" applyBorder="1" applyAlignment="1">
      <alignment horizontal="right"/>
    </xf>
    <xf numFmtId="10" fontId="16" fillId="0" borderId="7" xfId="0" applyNumberFormat="1" applyFont="1" applyFill="1" applyBorder="1"/>
    <xf numFmtId="2" fontId="16" fillId="0" borderId="7" xfId="0" applyNumberFormat="1" applyFont="1" applyFill="1" applyBorder="1"/>
    <xf numFmtId="49" fontId="11" fillId="0" borderId="2" xfId="0" applyNumberFormat="1" applyFont="1" applyFill="1" applyBorder="1" applyAlignment="1">
      <alignment horizontal="right"/>
    </xf>
    <xf numFmtId="10" fontId="16" fillId="0" borderId="2" xfId="0" applyNumberFormat="1" applyFont="1" applyFill="1" applyBorder="1"/>
    <xf numFmtId="2" fontId="16" fillId="0" borderId="2" xfId="0" applyNumberFormat="1" applyFont="1" applyFill="1" applyBorder="1"/>
    <xf numFmtId="2" fontId="14" fillId="0" borderId="2" xfId="0" applyNumberFormat="1" applyFont="1" applyFill="1" applyBorder="1"/>
    <xf numFmtId="49" fontId="11" fillId="0" borderId="5" xfId="0" applyNumberFormat="1" applyFont="1" applyFill="1" applyBorder="1" applyAlignment="1">
      <alignment horizontal="right" wrapText="1"/>
    </xf>
    <xf numFmtId="166" fontId="16" fillId="0" borderId="5" xfId="0" applyNumberFormat="1" applyFont="1" applyFill="1" applyBorder="1"/>
    <xf numFmtId="49" fontId="11" fillId="0" borderId="7" xfId="0" applyNumberFormat="1" applyFont="1" applyFill="1" applyBorder="1" applyAlignment="1">
      <alignment horizontal="right" wrapText="1"/>
    </xf>
    <xf numFmtId="167" fontId="16" fillId="0" borderId="7" xfId="0" applyNumberFormat="1" applyFont="1" applyFill="1" applyBorder="1" applyAlignment="1">
      <alignment wrapText="1"/>
    </xf>
    <xf numFmtId="0" fontId="11" fillId="0" borderId="5" xfId="0" applyFont="1" applyFill="1" applyBorder="1"/>
    <xf numFmtId="2" fontId="14" fillId="0" borderId="5" xfId="0" applyNumberFormat="1" applyFont="1" applyFill="1" applyBorder="1"/>
    <xf numFmtId="10" fontId="14" fillId="0" borderId="5" xfId="0" applyNumberFormat="1" applyFont="1" applyFill="1" applyBorder="1"/>
    <xf numFmtId="2" fontId="16" fillId="0" borderId="5" xfId="0" applyNumberFormat="1" applyFont="1" applyFill="1" applyBorder="1" applyAlignment="1">
      <alignment horizontal="right"/>
    </xf>
    <xf numFmtId="0" fontId="11" fillId="0" borderId="2" xfId="0" applyFont="1" applyFill="1" applyBorder="1"/>
    <xf numFmtId="0" fontId="16" fillId="0" borderId="2" xfId="0" applyFont="1" applyFill="1" applyBorder="1"/>
    <xf numFmtId="10" fontId="14" fillId="0" borderId="2" xfId="0" applyNumberFormat="1" applyFont="1" applyFill="1" applyBorder="1"/>
    <xf numFmtId="0" fontId="16" fillId="0" borderId="7" xfId="0" applyFont="1" applyFill="1" applyBorder="1" applyAlignment="1">
      <alignment horizontal="right"/>
    </xf>
    <xf numFmtId="0" fontId="16" fillId="0" borderId="5" xfId="0" applyFont="1" applyFill="1" applyBorder="1"/>
    <xf numFmtId="0" fontId="0" fillId="2" borderId="7" xfId="0" applyFill="1" applyBorder="1" applyAlignment="1">
      <alignment vertical="top" wrapText="1"/>
    </xf>
    <xf numFmtId="49" fontId="11" fillId="36" borderId="2" xfId="0" applyNumberFormat="1" applyFont="1" applyFill="1" applyBorder="1" applyAlignment="1">
      <alignment horizontal="right"/>
    </xf>
    <xf numFmtId="10" fontId="16" fillId="36" borderId="5" xfId="0" applyNumberFormat="1" applyFont="1" applyFill="1" applyBorder="1"/>
    <xf numFmtId="10" fontId="16" fillId="36" borderId="7" xfId="0" applyNumberFormat="1" applyFont="1" applyFill="1" applyBorder="1"/>
    <xf numFmtId="10" fontId="16" fillId="36" borderId="2" xfId="0" applyNumberFormat="1" applyFont="1" applyFill="1" applyBorder="1"/>
    <xf numFmtId="2" fontId="16" fillId="36" borderId="5" xfId="0" applyNumberFormat="1" applyFont="1" applyFill="1" applyBorder="1"/>
    <xf numFmtId="2" fontId="16" fillId="36" borderId="7" xfId="0" applyNumberFormat="1" applyFont="1" applyFill="1" applyBorder="1"/>
    <xf numFmtId="2" fontId="16" fillId="36" borderId="2" xfId="0" applyNumberFormat="1" applyFont="1" applyFill="1" applyBorder="1"/>
    <xf numFmtId="49" fontId="11" fillId="0" borderId="19" xfId="0" applyNumberFormat="1" applyFont="1" applyFill="1" applyBorder="1" applyAlignment="1">
      <alignment horizontal="right" wrapText="1"/>
    </xf>
    <xf numFmtId="2" fontId="16" fillId="0" borderId="19" xfId="0" applyNumberFormat="1" applyFont="1" applyFill="1" applyBorder="1"/>
    <xf numFmtId="10" fontId="16" fillId="0" borderId="19" xfId="0" applyNumberFormat="1" applyFont="1" applyFill="1" applyBorder="1"/>
    <xf numFmtId="49" fontId="11" fillId="0" borderId="19" xfId="0" applyNumberFormat="1" applyFont="1" applyFill="1" applyBorder="1" applyAlignment="1">
      <alignment horizontal="right"/>
    </xf>
    <xf numFmtId="0" fontId="43" fillId="0" borderId="7" xfId="59" applyNumberFormat="1" applyAlignment="1"/>
    <xf numFmtId="49" fontId="43" fillId="0" borderId="7" xfId="59" applyNumberFormat="1" applyBorder="1" applyAlignment="1"/>
    <xf numFmtId="0" fontId="43" fillId="0" borderId="7" xfId="59" applyBorder="1" applyAlignment="1"/>
    <xf numFmtId="0" fontId="43" fillId="0" borderId="7" xfId="59" applyAlignment="1"/>
    <xf numFmtId="49" fontId="24" fillId="0" borderId="7" xfId="59" applyNumberFormat="1" applyFont="1" applyBorder="1" applyAlignment="1"/>
    <xf numFmtId="0" fontId="0" fillId="0" borderId="7" xfId="0" applyFill="1" applyBorder="1"/>
    <xf numFmtId="0" fontId="43" fillId="2" borderId="7" xfId="59" applyFill="1" applyBorder="1" applyAlignment="1"/>
    <xf numFmtId="49" fontId="43" fillId="0" borderId="7" xfId="59" applyNumberFormat="1" applyBorder="1" applyAlignment="1">
      <alignment horizontal="left"/>
    </xf>
    <xf numFmtId="165" fontId="0" fillId="0" borderId="7" xfId="0" applyNumberFormat="1" applyBorder="1"/>
    <xf numFmtId="49" fontId="43" fillId="0" borderId="8" xfId="59" applyNumberFormat="1" applyBorder="1" applyAlignment="1"/>
    <xf numFmtId="0" fontId="0" fillId="0" borderId="7" xfId="64" applyFont="1"/>
    <xf numFmtId="0" fontId="23" fillId="0" borderId="7" xfId="64" applyFont="1"/>
    <xf numFmtId="3" fontId="0" fillId="0" borderId="7" xfId="64" applyNumberFormat="1" applyFont="1"/>
    <xf numFmtId="0" fontId="0" fillId="0" borderId="7" xfId="64" applyNumberFormat="1" applyFont="1"/>
    <xf numFmtId="0" fontId="47" fillId="37" borderId="7" xfId="64" applyFont="1" applyFill="1"/>
    <xf numFmtId="0" fontId="22" fillId="0" borderId="7" xfId="64" applyFont="1"/>
    <xf numFmtId="0" fontId="22" fillId="0" borderId="7" xfId="64" applyNumberFormat="1" applyFont="1"/>
    <xf numFmtId="0" fontId="47" fillId="37" borderId="7" xfId="64" applyNumberFormat="1" applyFont="1" applyFill="1"/>
    <xf numFmtId="3" fontId="26" fillId="0" borderId="7" xfId="0" applyNumberFormat="1" applyFont="1" applyFill="1" applyBorder="1" applyProtection="1"/>
    <xf numFmtId="0" fontId="23" fillId="0" borderId="7" xfId="64" applyNumberFormat="1" applyFont="1"/>
    <xf numFmtId="0" fontId="0" fillId="38" borderId="7" xfId="64" applyFont="1" applyFill="1"/>
    <xf numFmtId="0" fontId="0" fillId="0" borderId="7" xfId="64" applyFont="1" applyFill="1"/>
    <xf numFmtId="173" fontId="22" fillId="0" borderId="7" xfId="64" applyNumberFormat="1" applyFont="1"/>
    <xf numFmtId="173" fontId="0" fillId="0" borderId="7" xfId="64" applyNumberFormat="1" applyFont="1"/>
    <xf numFmtId="0" fontId="0" fillId="0" borderId="7" xfId="64" applyNumberFormat="1" applyFont="1" applyFill="1"/>
    <xf numFmtId="0" fontId="22" fillId="0" borderId="7" xfId="64" applyFont="1" applyFill="1"/>
    <xf numFmtId="0" fontId="22" fillId="38" borderId="7" xfId="64" applyFont="1" applyFill="1"/>
    <xf numFmtId="0" fontId="20" fillId="0" borderId="7" xfId="1" applyBorder="1" applyAlignment="1"/>
    <xf numFmtId="0" fontId="20" fillId="0" borderId="7" xfId="1" applyNumberFormat="1" applyBorder="1" applyAlignment="1"/>
    <xf numFmtId="49" fontId="20" fillId="0" borderId="7" xfId="1" applyNumberFormat="1" applyFill="1" applyBorder="1" applyAlignment="1">
      <alignment horizontal="left" vertical="top"/>
    </xf>
    <xf numFmtId="170" fontId="0" fillId="39" borderId="7" xfId="0" applyNumberFormat="1" applyFill="1" applyBorder="1"/>
    <xf numFmtId="169" fontId="24" fillId="39" borderId="7" xfId="0" applyNumberFormat="1" applyFont="1" applyFill="1" applyBorder="1"/>
    <xf numFmtId="169" fontId="0" fillId="39" borderId="7" xfId="0" applyNumberFormat="1" applyFill="1" applyBorder="1"/>
    <xf numFmtId="168" fontId="0" fillId="39" borderId="7" xfId="0" applyNumberFormat="1" applyFill="1" applyBorder="1"/>
    <xf numFmtId="166" fontId="16" fillId="0" borderId="7" xfId="0" applyNumberFormat="1" applyFont="1" applyFill="1" applyBorder="1"/>
    <xf numFmtId="10" fontId="16" fillId="2" borderId="7" xfId="0" applyNumberFormat="1" applyFont="1" applyFill="1" applyBorder="1" applyAlignment="1">
      <alignment horizontal="right"/>
    </xf>
    <xf numFmtId="10" fontId="22" fillId="39" borderId="7" xfId="24" applyNumberFormat="1" applyFont="1" applyFill="1" applyAlignment="1"/>
    <xf numFmtId="170" fontId="0" fillId="40" borderId="7" xfId="0" applyNumberFormat="1" applyFill="1" applyBorder="1"/>
    <xf numFmtId="9" fontId="0" fillId="39" borderId="7" xfId="0" applyNumberFormat="1" applyFill="1" applyBorder="1"/>
    <xf numFmtId="10" fontId="0" fillId="39" borderId="7" xfId="0" applyNumberFormat="1" applyFill="1" applyBorder="1"/>
    <xf numFmtId="168" fontId="0" fillId="40" borderId="7" xfId="0" applyNumberFormat="1" applyFill="1" applyBorder="1"/>
    <xf numFmtId="169" fontId="0" fillId="41" borderId="7" xfId="0" applyNumberFormat="1" applyFill="1" applyBorder="1"/>
    <xf numFmtId="170" fontId="0" fillId="41" borderId="7" xfId="0" applyNumberFormat="1" applyFill="1" applyBorder="1"/>
    <xf numFmtId="9" fontId="0" fillId="41" borderId="7" xfId="0" applyNumberFormat="1" applyFill="1" applyBorder="1"/>
    <xf numFmtId="10" fontId="0" fillId="39" borderId="0" xfId="0" applyNumberFormat="1" applyFill="1"/>
    <xf numFmtId="172" fontId="0" fillId="39" borderId="7" xfId="0" applyNumberForma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8" fillId="0" borderId="20" xfId="0" applyNumberFormat="1" applyFont="1" applyFill="1" applyBorder="1"/>
    <xf numFmtId="0" fontId="8" fillId="0" borderId="21" xfId="0" applyFont="1" applyFill="1" applyBorder="1"/>
    <xf numFmtId="0" fontId="9" fillId="0" borderId="21" xfId="0" applyFont="1" applyFill="1" applyBorder="1"/>
    <xf numFmtId="0" fontId="9" fillId="0" borderId="21" xfId="0" applyFont="1" applyFill="1" applyBorder="1" applyAlignment="1">
      <alignment horizontal="right"/>
    </xf>
    <xf numFmtId="0" fontId="9" fillId="0" borderId="22" xfId="0" applyFont="1" applyFill="1" applyBorder="1"/>
    <xf numFmtId="49" fontId="10" fillId="0" borderId="23" xfId="0" applyNumberFormat="1" applyFont="1" applyFill="1" applyBorder="1" applyAlignment="1">
      <alignment vertical="center"/>
    </xf>
    <xf numFmtId="49" fontId="11" fillId="0" borderId="24" xfId="0" applyNumberFormat="1" applyFont="1" applyFill="1" applyBorder="1" applyAlignment="1">
      <alignment horizontal="right" wrapText="1"/>
    </xf>
    <xf numFmtId="0" fontId="11" fillId="0" borderId="25" xfId="0" applyNumberFormat="1" applyFont="1" applyFill="1" applyBorder="1"/>
    <xf numFmtId="2" fontId="14" fillId="0" borderId="26" xfId="0" applyNumberFormat="1" applyFont="1" applyFill="1" applyBorder="1"/>
    <xf numFmtId="0" fontId="11" fillId="0" borderId="27" xfId="0" applyNumberFormat="1" applyFont="1" applyFill="1" applyBorder="1"/>
    <xf numFmtId="2" fontId="16" fillId="0" borderId="28" xfId="0" applyNumberFormat="1" applyFont="1" applyFill="1" applyBorder="1"/>
    <xf numFmtId="0" fontId="11" fillId="0" borderId="29" xfId="0" applyNumberFormat="1" applyFont="1" applyFill="1" applyBorder="1"/>
    <xf numFmtId="2" fontId="16" fillId="0" borderId="30" xfId="0" applyNumberFormat="1" applyFont="1" applyFill="1" applyBorder="1"/>
    <xf numFmtId="0" fontId="11" fillId="0" borderId="23" xfId="0" applyNumberFormat="1" applyFont="1" applyFill="1" applyBorder="1"/>
    <xf numFmtId="2" fontId="14" fillId="0" borderId="24" xfId="0" applyNumberFormat="1" applyFont="1" applyFill="1" applyBorder="1"/>
    <xf numFmtId="0" fontId="11" fillId="0" borderId="31" xfId="0" applyNumberFormat="1" applyFont="1" applyFill="1" applyBorder="1" applyAlignment="1">
      <alignment wrapText="1"/>
    </xf>
    <xf numFmtId="2" fontId="49" fillId="0" borderId="32" xfId="0" applyNumberFormat="1" applyFont="1" applyFill="1" applyBorder="1"/>
    <xf numFmtId="0" fontId="11" fillId="0" borderId="29" xfId="0" applyNumberFormat="1" applyFont="1" applyFill="1" applyBorder="1" applyAlignment="1">
      <alignment wrapText="1"/>
    </xf>
    <xf numFmtId="0" fontId="11" fillId="0" borderId="29" xfId="0" applyNumberFormat="1" applyFont="1" applyFill="1" applyBorder="1" applyAlignment="1">
      <alignment horizontal="left" vertical="top" wrapText="1"/>
    </xf>
    <xf numFmtId="0" fontId="11" fillId="0" borderId="27" xfId="0" applyNumberFormat="1" applyFont="1" applyFill="1" applyBorder="1" applyAlignment="1">
      <alignment wrapText="1"/>
    </xf>
    <xf numFmtId="2" fontId="50" fillId="0" borderId="30" xfId="0" applyNumberFormat="1" applyFont="1" applyFill="1" applyBorder="1"/>
    <xf numFmtId="0" fontId="16" fillId="0" borderId="30" xfId="0" applyFont="1" applyFill="1" applyBorder="1"/>
    <xf numFmtId="49" fontId="18" fillId="0" borderId="29" xfId="0" applyNumberFormat="1" applyFont="1" applyFill="1" applyBorder="1" applyAlignment="1">
      <alignment horizontal="center"/>
    </xf>
    <xf numFmtId="0" fontId="0" fillId="0" borderId="29" xfId="0" applyBorder="1"/>
    <xf numFmtId="0" fontId="16" fillId="0" borderId="30" xfId="0" applyFont="1" applyBorder="1"/>
    <xf numFmtId="0" fontId="11" fillId="0" borderId="29" xfId="0" applyFont="1" applyBorder="1"/>
    <xf numFmtId="0" fontId="19" fillId="0" borderId="29" xfId="0" applyNumberFormat="1" applyFont="1" applyBorder="1"/>
    <xf numFmtId="0" fontId="16" fillId="0" borderId="29" xfId="0" applyFont="1" applyBorder="1"/>
    <xf numFmtId="49" fontId="10" fillId="36" borderId="23" xfId="0" applyNumberFormat="1" applyFont="1" applyFill="1" applyBorder="1"/>
    <xf numFmtId="49" fontId="11" fillId="0" borderId="27" xfId="0" applyNumberFormat="1" applyFont="1" applyBorder="1"/>
    <xf numFmtId="49" fontId="11" fillId="0" borderId="29" xfId="0" applyNumberFormat="1" applyFont="1" applyBorder="1"/>
    <xf numFmtId="49" fontId="11" fillId="0" borderId="23" xfId="0" applyNumberFormat="1" applyFont="1" applyBorder="1"/>
    <xf numFmtId="0" fontId="0" fillId="0" borderId="30" xfId="0" applyBorder="1"/>
    <xf numFmtId="49" fontId="11" fillId="0" borderId="31" xfId="0" applyNumberFormat="1" applyFont="1" applyBorder="1"/>
    <xf numFmtId="49" fontId="11" fillId="0" borderId="19" xfId="0" applyNumberFormat="1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0" fillId="2" borderId="19" xfId="0" applyFill="1" applyBorder="1"/>
    <xf numFmtId="0" fontId="0" fillId="0" borderId="32" xfId="0" applyBorder="1"/>
  </cellXfs>
  <cellStyles count="116">
    <cellStyle name="=D:\WINNT\SYSTEM32\COMMAND.COM" xfId="63" xr:uid="{00000000-0005-0000-0000-000000000000}"/>
    <cellStyle name="20 % - zvýraznenie1 2" xfId="34" xr:uid="{00000000-0005-0000-0000-000001000000}"/>
    <cellStyle name="20 % - zvýraznenie1 3" xfId="66" xr:uid="{00000000-0005-0000-0000-000002000000}"/>
    <cellStyle name="20 % - zvýraznenie1 4" xfId="84" xr:uid="{00000000-0005-0000-0000-000003000000}"/>
    <cellStyle name="20 % - zvýraznenie1 5" xfId="98" xr:uid="{00000000-0005-0000-0000-000004000000}"/>
    <cellStyle name="20 % - zvýraznenie2 2" xfId="38" xr:uid="{00000000-0005-0000-0000-000005000000}"/>
    <cellStyle name="20 % - zvýraznenie2 3" xfId="67" xr:uid="{00000000-0005-0000-0000-000006000000}"/>
    <cellStyle name="20 % - zvýraznenie2 4" xfId="86" xr:uid="{00000000-0005-0000-0000-000007000000}"/>
    <cellStyle name="20 % - zvýraznenie2 5" xfId="100" xr:uid="{00000000-0005-0000-0000-000008000000}"/>
    <cellStyle name="20 % - zvýraznenie3 2" xfId="42" xr:uid="{00000000-0005-0000-0000-000009000000}"/>
    <cellStyle name="20 % - zvýraznenie3 3" xfId="68" xr:uid="{00000000-0005-0000-0000-00000A000000}"/>
    <cellStyle name="20 % - zvýraznenie3 4" xfId="88" xr:uid="{00000000-0005-0000-0000-00000B000000}"/>
    <cellStyle name="20 % - zvýraznenie3 5" xfId="102" xr:uid="{00000000-0005-0000-0000-00000C000000}"/>
    <cellStyle name="20 % - zvýraznenie4 2" xfId="46" xr:uid="{00000000-0005-0000-0000-00000D000000}"/>
    <cellStyle name="20 % - zvýraznenie4 3" xfId="69" xr:uid="{00000000-0005-0000-0000-00000E000000}"/>
    <cellStyle name="20 % - zvýraznenie4 4" xfId="90" xr:uid="{00000000-0005-0000-0000-00000F000000}"/>
    <cellStyle name="20 % - zvýraznenie4 5" xfId="104" xr:uid="{00000000-0005-0000-0000-000010000000}"/>
    <cellStyle name="20 % - zvýraznenie5 2" xfId="50" xr:uid="{00000000-0005-0000-0000-000011000000}"/>
    <cellStyle name="20 % - zvýraznenie5 3" xfId="70" xr:uid="{00000000-0005-0000-0000-000012000000}"/>
    <cellStyle name="20 % - zvýraznenie5 4" xfId="92" xr:uid="{00000000-0005-0000-0000-000013000000}"/>
    <cellStyle name="20 % - zvýraznenie5 5" xfId="106" xr:uid="{00000000-0005-0000-0000-000014000000}"/>
    <cellStyle name="20 % - zvýraznenie6 2" xfId="54" xr:uid="{00000000-0005-0000-0000-000015000000}"/>
    <cellStyle name="20 % - zvýraznenie6 3" xfId="71" xr:uid="{00000000-0005-0000-0000-000016000000}"/>
    <cellStyle name="20 % - zvýraznenie6 4" xfId="94" xr:uid="{00000000-0005-0000-0000-000017000000}"/>
    <cellStyle name="20 % - zvýraznenie6 5" xfId="108" xr:uid="{00000000-0005-0000-0000-000018000000}"/>
    <cellStyle name="40 % - zvýraznenie1 2" xfId="35" xr:uid="{00000000-0005-0000-0000-000019000000}"/>
    <cellStyle name="40 % - zvýraznenie1 3" xfId="72" xr:uid="{00000000-0005-0000-0000-00001A000000}"/>
    <cellStyle name="40 % - zvýraznenie1 4" xfId="85" xr:uid="{00000000-0005-0000-0000-00001B000000}"/>
    <cellStyle name="40 % - zvýraznenie1 5" xfId="99" xr:uid="{00000000-0005-0000-0000-00001C000000}"/>
    <cellStyle name="40 % - zvýraznenie2 2" xfId="39" xr:uid="{00000000-0005-0000-0000-00001D000000}"/>
    <cellStyle name="40 % - zvýraznenie2 3" xfId="73" xr:uid="{00000000-0005-0000-0000-00001E000000}"/>
    <cellStyle name="40 % - zvýraznenie2 4" xfId="87" xr:uid="{00000000-0005-0000-0000-00001F000000}"/>
    <cellStyle name="40 % - zvýraznenie2 5" xfId="101" xr:uid="{00000000-0005-0000-0000-000020000000}"/>
    <cellStyle name="40 % - zvýraznenie3 2" xfId="43" xr:uid="{00000000-0005-0000-0000-000021000000}"/>
    <cellStyle name="40 % - zvýraznenie3 3" xfId="74" xr:uid="{00000000-0005-0000-0000-000022000000}"/>
    <cellStyle name="40 % - zvýraznenie3 4" xfId="89" xr:uid="{00000000-0005-0000-0000-000023000000}"/>
    <cellStyle name="40 % - zvýraznenie3 5" xfId="103" xr:uid="{00000000-0005-0000-0000-000024000000}"/>
    <cellStyle name="40 % - zvýraznenie4 2" xfId="47" xr:uid="{00000000-0005-0000-0000-000025000000}"/>
    <cellStyle name="40 % - zvýraznenie4 3" xfId="75" xr:uid="{00000000-0005-0000-0000-000026000000}"/>
    <cellStyle name="40 % - zvýraznenie4 4" xfId="91" xr:uid="{00000000-0005-0000-0000-000027000000}"/>
    <cellStyle name="40 % - zvýraznenie4 5" xfId="105" xr:uid="{00000000-0005-0000-0000-000028000000}"/>
    <cellStyle name="40 % - zvýraznenie5 2" xfId="51" xr:uid="{00000000-0005-0000-0000-000029000000}"/>
    <cellStyle name="40 % - zvýraznenie5 3" xfId="76" xr:uid="{00000000-0005-0000-0000-00002A000000}"/>
    <cellStyle name="40 % - zvýraznenie5 4" xfId="93" xr:uid="{00000000-0005-0000-0000-00002B000000}"/>
    <cellStyle name="40 % - zvýraznenie5 5" xfId="107" xr:uid="{00000000-0005-0000-0000-00002C000000}"/>
    <cellStyle name="40 % - zvýraznenie6 2" xfId="55" xr:uid="{00000000-0005-0000-0000-00002D000000}"/>
    <cellStyle name="40 % - zvýraznenie6 3" xfId="77" xr:uid="{00000000-0005-0000-0000-00002E000000}"/>
    <cellStyle name="40 % - zvýraznenie6 4" xfId="95" xr:uid="{00000000-0005-0000-0000-00002F000000}"/>
    <cellStyle name="40 % - zvýraznenie6 5" xfId="109" xr:uid="{00000000-0005-0000-0000-000030000000}"/>
    <cellStyle name="60 % - zvýraznenie1 2" xfId="36" xr:uid="{00000000-0005-0000-0000-000031000000}"/>
    <cellStyle name="60 % - zvýraznenie2 2" xfId="40" xr:uid="{00000000-0005-0000-0000-000032000000}"/>
    <cellStyle name="60 % - zvýraznenie3 2" xfId="44" xr:uid="{00000000-0005-0000-0000-000033000000}"/>
    <cellStyle name="60 % - zvýraznenie4 2" xfId="48" xr:uid="{00000000-0005-0000-0000-000034000000}"/>
    <cellStyle name="60 % - zvýraznenie5 2" xfId="52" xr:uid="{00000000-0005-0000-0000-000035000000}"/>
    <cellStyle name="60 % - zvýraznenie6 2" xfId="56" xr:uid="{00000000-0005-0000-0000-000036000000}"/>
    <cellStyle name="Comma" xfId="7" xr:uid="{00000000-0005-0000-0000-000037000000}"/>
    <cellStyle name="Comma [0]" xfId="8" xr:uid="{00000000-0005-0000-0000-000038000000}"/>
    <cellStyle name="Currency" xfId="5" xr:uid="{00000000-0005-0000-0000-000039000000}"/>
    <cellStyle name="Currency [0]" xfId="6" xr:uid="{00000000-0005-0000-0000-00003A000000}"/>
    <cellStyle name="Dobrá 2" xfId="27" xr:uid="{00000000-0005-0000-0000-00003B000000}"/>
    <cellStyle name="Hypertextové prepojenie" xfId="1" builtinId="8"/>
    <cellStyle name="Hypertextové prepojenie 2" xfId="59" xr:uid="{00000000-0005-0000-0000-00003D000000}"/>
    <cellStyle name="Hypertextové prepojenie 2 2" xfId="111" xr:uid="{00000000-0005-0000-0000-00003E000000}"/>
    <cellStyle name="Hypertextové prepojenie 3" xfId="65" xr:uid="{00000000-0005-0000-0000-00003F000000}"/>
    <cellStyle name="Kontrolná bunka" xfId="21" builtinId="23" customBuiltin="1"/>
    <cellStyle name="Nadpis 1" xfId="14" builtinId="16" customBuiltin="1"/>
    <cellStyle name="Nadpis 2" xfId="15" builtinId="17" customBuiltin="1"/>
    <cellStyle name="Nadpis 3" xfId="16" builtinId="18" customBuiltin="1"/>
    <cellStyle name="Nadpis 4 2" xfId="26" xr:uid="{00000000-0005-0000-0000-000044000000}"/>
    <cellStyle name="Neutrálna 2" xfId="29" xr:uid="{00000000-0005-0000-0000-000045000000}"/>
    <cellStyle name="Normal" xfId="96" xr:uid="{00000000-0005-0000-0000-000046000000}"/>
    <cellStyle name="Normálna" xfId="0" builtinId="0"/>
    <cellStyle name="Normálna 10" xfId="78" xr:uid="{00000000-0005-0000-0000-000048000000}"/>
    <cellStyle name="Normálna 11" xfId="79" xr:uid="{00000000-0005-0000-0000-000049000000}"/>
    <cellStyle name="Normálna 12" xfId="112" xr:uid="{00000000-0005-0000-0000-00004A000000}"/>
    <cellStyle name="Normálna 13" xfId="113" xr:uid="{00000000-0005-0000-0000-00004B000000}"/>
    <cellStyle name="Normálna 14" xfId="115" xr:uid="{00000000-0005-0000-0000-00004C000000}"/>
    <cellStyle name="Normálna 2" xfId="2" xr:uid="{00000000-0005-0000-0000-00004D000000}"/>
    <cellStyle name="Normálna 2 2" xfId="10" xr:uid="{00000000-0005-0000-0000-00004E000000}"/>
    <cellStyle name="Normálna 2 3" xfId="57" xr:uid="{00000000-0005-0000-0000-00004F000000}"/>
    <cellStyle name="Normálna 3" xfId="3" xr:uid="{00000000-0005-0000-0000-000050000000}"/>
    <cellStyle name="Normálna 4" xfId="9" xr:uid="{00000000-0005-0000-0000-000051000000}"/>
    <cellStyle name="Normálna 5" xfId="23" xr:uid="{00000000-0005-0000-0000-000052000000}"/>
    <cellStyle name="Normálna 6" xfId="60" xr:uid="{00000000-0005-0000-0000-000053000000}"/>
    <cellStyle name="Normálna 7" xfId="61" xr:uid="{00000000-0005-0000-0000-000054000000}"/>
    <cellStyle name="Normálna 8" xfId="64" xr:uid="{00000000-0005-0000-0000-000055000000}"/>
    <cellStyle name="Normálna 9" xfId="80" xr:uid="{00000000-0005-0000-0000-000056000000}"/>
    <cellStyle name="normálne 2" xfId="11" xr:uid="{00000000-0005-0000-0000-000057000000}"/>
    <cellStyle name="Normálne 4" xfId="114" xr:uid="{00000000-0005-0000-0000-000058000000}"/>
    <cellStyle name="Normálne 4 2" xfId="62" xr:uid="{00000000-0005-0000-0000-000059000000}"/>
    <cellStyle name="normálne_NP" xfId="81" xr:uid="{00000000-0005-0000-0000-00005A000000}"/>
    <cellStyle name="normální 5" xfId="12" xr:uid="{00000000-0005-0000-0000-00005B000000}"/>
    <cellStyle name="Percent" xfId="4" xr:uid="{00000000-0005-0000-0000-00005C000000}"/>
    <cellStyle name="Percentá 2" xfId="13" xr:uid="{00000000-0005-0000-0000-00005D000000}"/>
    <cellStyle name="Percentá 3" xfId="24" xr:uid="{00000000-0005-0000-0000-00005E000000}"/>
    <cellStyle name="Percentá 4" xfId="58" xr:uid="{00000000-0005-0000-0000-00005F000000}"/>
    <cellStyle name="Percentá 5" xfId="110" xr:uid="{00000000-0005-0000-0000-000060000000}"/>
    <cellStyle name="Poznámka 2" xfId="31" xr:uid="{00000000-0005-0000-0000-000061000000}"/>
    <cellStyle name="Poznámka 3" xfId="82" xr:uid="{00000000-0005-0000-0000-000062000000}"/>
    <cellStyle name="Poznámka 4" xfId="83" xr:uid="{00000000-0005-0000-0000-000063000000}"/>
    <cellStyle name="Poznámka 5" xfId="97" xr:uid="{00000000-0005-0000-0000-000064000000}"/>
    <cellStyle name="Prepojená bunka" xfId="20" builtinId="24" customBuiltin="1"/>
    <cellStyle name="Spolu" xfId="22" builtinId="25" customBuiltin="1"/>
    <cellStyle name="Text upozornenia 2" xfId="30" xr:uid="{00000000-0005-0000-0000-000067000000}"/>
    <cellStyle name="Titul 2" xfId="25" xr:uid="{00000000-0005-0000-0000-000068000000}"/>
    <cellStyle name="Vstup" xfId="17" builtinId="20" customBuiltin="1"/>
    <cellStyle name="Výpočet" xfId="19" builtinId="22" customBuiltin="1"/>
    <cellStyle name="Výstup" xfId="18" builtinId="21" customBuiltin="1"/>
    <cellStyle name="Vysvetľujúci text 2" xfId="32" xr:uid="{00000000-0005-0000-0000-00006C000000}"/>
    <cellStyle name="Zlá 2" xfId="28" xr:uid="{00000000-0005-0000-0000-00006E000000}"/>
    <cellStyle name="Zvýraznenie1 2" xfId="33" xr:uid="{00000000-0005-0000-0000-00006F000000}"/>
    <cellStyle name="Zvýraznenie2 2" xfId="37" xr:uid="{00000000-0005-0000-0000-000070000000}"/>
    <cellStyle name="Zvýraznenie3 2" xfId="41" xr:uid="{00000000-0005-0000-0000-000071000000}"/>
    <cellStyle name="Zvýraznenie4 2" xfId="45" xr:uid="{00000000-0005-0000-0000-000072000000}"/>
    <cellStyle name="Zvýraznenie5 2" xfId="49" xr:uid="{00000000-0005-0000-0000-000073000000}"/>
    <cellStyle name="Zvýraznenie6 2" xfId="53" xr:uid="{00000000-0005-0000-0000-000074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FF00"/>
      <rgbColor rgb="FFFF0000"/>
      <rgbColor rgb="FF0000FF"/>
      <rgbColor rgb="FFA7A7A7"/>
      <rgbColor rgb="FFFABF8F"/>
      <rgbColor rgb="FF00FF00"/>
      <rgbColor rgb="FFF2F2F2"/>
      <rgbColor rgb="FFDDDDDD"/>
      <rgbColor rgb="FFF9F9F9"/>
      <rgbColor rgb="FFBBCEDC"/>
      <rgbColor rgb="FF084887"/>
      <rgbColor rgb="FFF6FAF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0E6F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9350577538692"/>
          <c:y val="0.24440749362598382"/>
          <c:w val="0.31094200000000011"/>
          <c:h val="0.52291599999999983"/>
        </c:manualLayout>
      </c:layout>
      <c:pieChart>
        <c:varyColors val="0"/>
        <c:ser>
          <c:idx val="0"/>
          <c:order val="0"/>
          <c:tx>
            <c:strRef>
              <c:f>Výpočet!$A$69</c:f>
              <c:strCache>
                <c:ptCount val="1"/>
                <c:pt idx="0">
                  <c:v>Komu a koľko na daniach mesačne platíme:</c:v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dPt>
            <c:idx val="1"/>
            <c:bubble3D val="0"/>
            <c:spPr>
              <a:solidFill>
                <a:schemeClr val="accent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0-8321-4D44-9F54-67B4B11862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21-4D44-9F54-67B4B11862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2-8321-4D44-9F54-67B4B11862F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21-4D44-9F54-67B4B11862FC}"/>
              </c:ext>
            </c:extLst>
          </c:dPt>
          <c:dLbls>
            <c:dLbl>
              <c:idx val="0"/>
              <c:layout>
                <c:manualLayout>
                  <c:x val="5.9701445377221836E-2"/>
                  <c:y val="-1.22875195971305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ED-425B-8E28-EDA5DBCD3D5A}"/>
                </c:ext>
              </c:extLst>
            </c:dLbl>
            <c:dLbl>
              <c:idx val="1"/>
              <c:layout>
                <c:manualLayout>
                  <c:x val="-4.2952786302801679E-2"/>
                  <c:y val="6.39520091870302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21-4D44-9F54-67B4B11862FC}"/>
                </c:ext>
              </c:extLst>
            </c:dLbl>
            <c:dLbl>
              <c:idx val="2"/>
              <c:layout>
                <c:manualLayout>
                  <c:x val="-4.1418069450951854E-2"/>
                  <c:y val="3.261583614898048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80015957984474"/>
                      <c:h val="8.63733119307673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321-4D44-9F54-67B4B11862FC}"/>
                </c:ext>
              </c:extLst>
            </c:dLbl>
            <c:dLbl>
              <c:idx val="3"/>
              <c:layout>
                <c:manualLayout>
                  <c:x val="4.2138897611049561E-3"/>
                  <c:y val="1.3175606125386276E-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21-4D44-9F54-67B4B11862FC}"/>
                </c:ext>
              </c:extLst>
            </c:dLbl>
            <c:dLbl>
              <c:idx val="4"/>
              <c:layout>
                <c:manualLayout>
                  <c:x val="7.1399541444745238E-2"/>
                  <c:y val="-1.835083218521861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21-4D44-9F54-67B4B11862F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 Narrow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6350" cap="flat">
                  <a:solidFill>
                    <a:srgbClr val="000000"/>
                  </a:solidFill>
                  <a:prstDash val="solid"/>
                  <a:miter lim="400000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Výpočet!$A$70:$A$74</c:f>
              <c:strCache>
                <c:ptCount val="5"/>
                <c:pt idx="0">
                  <c:v>štátu</c:v>
                </c:pt>
                <c:pt idx="1">
                  <c:v>obciam</c:v>
                </c:pt>
                <c:pt idx="2">
                  <c:v>VÚC</c:v>
                </c:pt>
                <c:pt idx="3">
                  <c:v>súkrom. spol.</c:v>
                </c:pt>
                <c:pt idx="4">
                  <c:v>EÚ</c:v>
                </c:pt>
              </c:strCache>
            </c:strRef>
          </c:cat>
          <c:val>
            <c:numRef>
              <c:f>Výpočet!$C$70:$C$74</c:f>
              <c:numCache>
                <c:formatCode>0.00</c:formatCode>
                <c:ptCount val="5"/>
                <c:pt idx="0">
                  <c:v>1072.6588681841752</c:v>
                </c:pt>
                <c:pt idx="1">
                  <c:v>135.44213079151049</c:v>
                </c:pt>
                <c:pt idx="2">
                  <c:v>44.792636398321257</c:v>
                </c:pt>
                <c:pt idx="3">
                  <c:v>136.11000186044549</c:v>
                </c:pt>
                <c:pt idx="4">
                  <c:v>0.42073240595613015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21-4D44-9F54-67B4B1186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57075100000000023"/>
          <c:y val="0.24139099999999999"/>
          <c:w val="0.4292490000000001"/>
          <c:h val="0.42671227453402388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700" b="0" i="0" u="none" strike="noStrike">
              <a:solidFill>
                <a:srgbClr val="000000"/>
              </a:solidFill>
              <a:latin typeface="Calibri"/>
            </a:defRPr>
          </a:pPr>
          <a:endParaRPr lang="sk-SK"/>
        </a:p>
      </c:txPr>
    </c:legend>
    <c:plotVisOnly val="1"/>
    <c:dispBlanksAs val="zero"/>
    <c:showDLblsOverMax val="1"/>
  </c:chart>
  <c:spPr>
    <a:solidFill>
      <a:srgbClr val="F2F2F2"/>
    </a:solidFill>
    <a:ln>
      <a:noFill/>
    </a:ln>
    <a:effectLst/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32127542596124"/>
          <c:y val="0.17742084671034272"/>
          <c:w val="0.30776538712075102"/>
          <c:h val="0.62489693015916425"/>
        </c:manualLayout>
      </c:layout>
      <c:pieChart>
        <c:varyColors val="0"/>
        <c:ser>
          <c:idx val="0"/>
          <c:order val="0"/>
          <c:tx>
            <c:strRef>
              <c:f>Výpočet!$A$80</c:f>
              <c:strCache>
                <c:ptCount val="1"/>
                <c:pt idx="0">
                  <c:v>príjem</c:v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dPt>
            <c:idx val="1"/>
            <c:bubble3D val="0"/>
            <c:spPr>
              <a:solidFill>
                <a:schemeClr val="accent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0-7C61-4148-B629-9E5CCCAB1E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61-4148-B629-9E5CCCAB1E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2-7C61-4148-B629-9E5CCCAB1EB3}"/>
              </c:ext>
            </c:extLst>
          </c:dPt>
          <c:dLbls>
            <c:dLbl>
              <c:idx val="0"/>
              <c:layout>
                <c:manualLayout>
                  <c:x val="7.8556402148786786E-2"/>
                  <c:y val="-2.50095065375727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9B-4211-A1D4-FA894408210F}"/>
                </c:ext>
              </c:extLst>
            </c:dLbl>
            <c:dLbl>
              <c:idx val="1"/>
              <c:layout>
                <c:manualLayout>
                  <c:x val="-1.322803546113374E-2"/>
                  <c:y val="-2.564116753720989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61-4148-B629-9E5CCCAB1EB3}"/>
                </c:ext>
              </c:extLst>
            </c:dLbl>
            <c:dLbl>
              <c:idx val="2"/>
              <c:layout>
                <c:manualLayout>
                  <c:x val="-2.0461910507710637E-2"/>
                  <c:y val="-4.345021301759245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61-4148-B629-9E5CCCAB1EB3}"/>
                </c:ext>
              </c:extLst>
            </c:dLbl>
            <c:dLbl>
              <c:idx val="3"/>
              <c:layout>
                <c:manualLayout>
                  <c:x val="2.129388507870383E-2"/>
                  <c:y val="-4.633236135898965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61-4148-B629-9E5CCCAB1EB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 b="0" i="0" u="none" strike="noStrike">
                    <a:solidFill>
                      <a:srgbClr val="000000"/>
                    </a:solidFill>
                    <a:latin typeface="Arial Narrow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6350" cap="flat">
                  <a:solidFill>
                    <a:srgbClr val="000000"/>
                  </a:solidFill>
                  <a:prstDash val="solid"/>
                  <a:miter lim="400000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Výpočet!$A$80:$A$83</c:f>
              <c:strCache>
                <c:ptCount val="4"/>
                <c:pt idx="0">
                  <c:v>príjem</c:v>
                </c:pt>
                <c:pt idx="1">
                  <c:v>majetok</c:v>
                </c:pt>
                <c:pt idx="2">
                  <c:v>spotrebu</c:v>
                </c:pt>
                <c:pt idx="3">
                  <c:v>podnikanie</c:v>
                </c:pt>
              </c:strCache>
            </c:strRef>
          </c:cat>
          <c:val>
            <c:numRef>
              <c:f>Výpočet!$C$80:$C$83</c:f>
              <c:numCache>
                <c:formatCode>0.00</c:formatCode>
                <c:ptCount val="4"/>
                <c:pt idx="0">
                  <c:v>1012.4765379944042</c:v>
                </c:pt>
                <c:pt idx="1">
                  <c:v>31.066753992726191</c:v>
                </c:pt>
                <c:pt idx="2">
                  <c:v>318.78321980832578</c:v>
                </c:pt>
                <c:pt idx="3">
                  <c:v>27.097857844952159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61-4148-B629-9E5CCCAB1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57952609727788418"/>
          <c:y val="0.26055581424581337"/>
          <c:w val="0.40563937775981546"/>
          <c:h val="0.45675000000000004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700" b="0" i="0" u="none" strike="noStrike">
              <a:solidFill>
                <a:srgbClr val="000000"/>
              </a:solidFill>
              <a:latin typeface="Calibri"/>
            </a:defRPr>
          </a:pPr>
          <a:endParaRPr lang="sk-SK"/>
        </a:p>
      </c:txPr>
    </c:legend>
    <c:plotVisOnly val="1"/>
    <c:dispBlanksAs val="zero"/>
    <c:showDLblsOverMax val="1"/>
  </c:chart>
  <c:spPr>
    <a:solidFill>
      <a:srgbClr val="F2F2F2"/>
    </a:solidFill>
    <a:ln>
      <a:noFill/>
    </a:ln>
    <a:effectLst/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2259603</xdr:colOff>
      <xdr:row>67</xdr:row>
      <xdr:rowOff>97707</xdr:rowOff>
    </xdr:from>
    <xdr:to>
      <xdr:col>2</xdr:col>
      <xdr:colOff>6108</xdr:colOff>
      <xdr:row>75</xdr:row>
      <xdr:rowOff>137142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2209800</xdr:colOff>
      <xdr:row>77</xdr:row>
      <xdr:rowOff>137160</xdr:rowOff>
    </xdr:from>
    <xdr:to>
      <xdr:col>1</xdr:col>
      <xdr:colOff>863358</xdr:colOff>
      <xdr:row>84</xdr:row>
      <xdr:rowOff>53339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laspo.sk/30778" TargetMode="External"/><Relationship Id="rId21" Type="http://schemas.openxmlformats.org/officeDocument/2006/relationships/hyperlink" Target="https://www.nielsen.com/sk/sk/insights/article/2019/slovaks-smoke-from-year-to-year-more/" TargetMode="External"/><Relationship Id="rId42" Type="http://schemas.openxmlformats.org/officeDocument/2006/relationships/hyperlink" Target="https://www.slov-lex.sk/pravne-predpisy/SK/ZZ/2004/564/20210101.html" TargetMode="External"/><Relationship Id="rId47" Type="http://schemas.openxmlformats.org/officeDocument/2006/relationships/hyperlink" Target="http://datacube.statistics.sk/" TargetMode="External"/><Relationship Id="rId63" Type="http://schemas.openxmlformats.org/officeDocument/2006/relationships/hyperlink" Target="https://www.minv.sk/?celkovy-pocet-evidovanych-vozidiel-v-sr" TargetMode="External"/><Relationship Id="rId68" Type="http://schemas.openxmlformats.org/officeDocument/2006/relationships/hyperlink" Target="https://www.stkpezinok.sk/cennik-sluzieb-stk-pezinok" TargetMode="External"/><Relationship Id="rId84" Type="http://schemas.openxmlformats.org/officeDocument/2006/relationships/hyperlink" Target="https://www.minv.sk/?spravne-poplatky-1" TargetMode="External"/><Relationship Id="rId16" Type="http://schemas.openxmlformats.org/officeDocument/2006/relationships/hyperlink" Target="https://www.financnasprava.sk/_img/pfsedit/Dokumenty_PFS/Zverejnovanie_dok/Statistiky/Statny_rozpocet/2023/2024.01.03_prijmy_SR_2023_12.pdf" TargetMode="External"/><Relationship Id="rId11" Type="http://schemas.openxmlformats.org/officeDocument/2006/relationships/hyperlink" Target="https://www.slaspo.sk/30778" TargetMode="External"/><Relationship Id="rId32" Type="http://schemas.openxmlformats.org/officeDocument/2006/relationships/hyperlink" Target="https://www.finstat.sk/00179710" TargetMode="External"/><Relationship Id="rId37" Type="http://schemas.openxmlformats.org/officeDocument/2006/relationships/hyperlink" Target="https://www.mfsr.sk/sk/financie/statne-vykaznictvo/klucove-dokumenty-uctovne-zavierky/statny-zaverecny-ucet-sr/" TargetMode="External"/><Relationship Id="rId53" Type="http://schemas.openxmlformats.org/officeDocument/2006/relationships/hyperlink" Target="https://www.spp.sk/sk/domacnosti/elektrina/ceny/cenniky-elektrickej-energie/" TargetMode="External"/><Relationship Id="rId58" Type="http://schemas.openxmlformats.org/officeDocument/2006/relationships/hyperlink" Target="http://datacube.statistics.sk/" TargetMode="External"/><Relationship Id="rId74" Type="http://schemas.openxmlformats.org/officeDocument/2006/relationships/hyperlink" Target="https://www.mfsr.sk/sk/financie/statne-vykaznictvo/klucove-dokumenty-uctovne-zavierky/statny-zaverecny-ucet-sr/" TargetMode="External"/><Relationship Id="rId79" Type="http://schemas.openxmlformats.org/officeDocument/2006/relationships/hyperlink" Target="https://calendar.zoznam.sk/worktime-sksk.php?hy=2021" TargetMode="External"/><Relationship Id="rId5" Type="http://schemas.openxmlformats.org/officeDocument/2006/relationships/hyperlink" Target="https://www.slov-lex.sk/pravne-predpisy/SK/ZZ/2003/461/20210101.html" TargetMode="External"/><Relationship Id="rId19" Type="http://schemas.openxmlformats.org/officeDocument/2006/relationships/hyperlink" Target="https://www.teleoff.gov.sk/data/files/50615_vyrocna-sprava_2020_final.pdf" TargetMode="External"/><Relationship Id="rId14" Type="http://schemas.openxmlformats.org/officeDocument/2006/relationships/hyperlink" Target="https://www.financnasprava.sk/_img/pfsedit/Dokumenty_PFS/Zverejnovanie_dok/Statistiky/Statny_rozpocet/2019/2020.01.08_PrijmySR_2019_12.pdf" TargetMode="External"/><Relationship Id="rId22" Type="http://schemas.openxmlformats.org/officeDocument/2006/relationships/hyperlink" Target="http://www.statistics.sk/" TargetMode="External"/><Relationship Id="rId27" Type="http://schemas.openxmlformats.org/officeDocument/2006/relationships/hyperlink" Target="https://www.sadtn.sk/files/Vyrocna_%20sprava_2017.pdf" TargetMode="External"/><Relationship Id="rId30" Type="http://schemas.openxmlformats.org/officeDocument/2006/relationships/hyperlink" Target="https://www.finstat.sk/36007099" TargetMode="External"/><Relationship Id="rId35" Type="http://schemas.openxmlformats.org/officeDocument/2006/relationships/hyperlink" Target="https://www.mfsr.sk/sk/financie/statne-vykaznictvo/klucove-dokumenty-uctovne-zavierky/statny-zaverecny-ucet-sr/" TargetMode="External"/><Relationship Id="rId43" Type="http://schemas.openxmlformats.org/officeDocument/2006/relationships/hyperlink" Target="https://www.slov-lex.sk/pravne-predpisy/SK/ZZ/2004/564/20210101.html" TargetMode="External"/><Relationship Id="rId48" Type="http://schemas.openxmlformats.org/officeDocument/2006/relationships/hyperlink" Target="https://www.slov-lex.sk/pravne-predpisy/SK/ZZ/2003/595/20210101.html" TargetMode="External"/><Relationship Id="rId56" Type="http://schemas.openxmlformats.org/officeDocument/2006/relationships/hyperlink" Target="http://www.epi.sk/zz/2004-98" TargetMode="External"/><Relationship Id="rId64" Type="http://schemas.openxmlformats.org/officeDocument/2006/relationships/hyperlink" Target="https://www.teleoff.gov.sk/data/files/49811_vestnik7.pdf" TargetMode="External"/><Relationship Id="rId69" Type="http://schemas.openxmlformats.org/officeDocument/2006/relationships/hyperlink" Target="https://www.slov-lex.sk/pravne-predpisy/SK/ZZ/2012/340/" TargetMode="External"/><Relationship Id="rId77" Type="http://schemas.openxmlformats.org/officeDocument/2006/relationships/hyperlink" Target="https://www.vszp.sk/files/Vyr_spr/vyrocna-sprava-za-rok-2019.pdf" TargetMode="External"/><Relationship Id="rId8" Type="http://schemas.openxmlformats.org/officeDocument/2006/relationships/hyperlink" Target="https://www.mfsr.sk/sk/financie/statne-vykaznictvo/klucove-dokumenty-uctovne-zavierky/statny-zaverecny-ucet-sr/" TargetMode="External"/><Relationship Id="rId51" Type="http://schemas.openxmlformats.org/officeDocument/2006/relationships/hyperlink" Target="https://www.finstat.sk/35919001/zavierka" TargetMode="External"/><Relationship Id="rId72" Type="http://schemas.openxmlformats.org/officeDocument/2006/relationships/hyperlink" Target="https://www.spp.sk/sk/domacnosti/plyn/tarify-a-ceny/" TargetMode="External"/><Relationship Id="rId80" Type="http://schemas.openxmlformats.org/officeDocument/2006/relationships/hyperlink" Target="https://www.finstat.sk/35919001/zavierka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s://www.slov-lex.sk/pravne-predpisy/SK/ZZ/2003/461/20210101.html" TargetMode="External"/><Relationship Id="rId12" Type="http://schemas.openxmlformats.org/officeDocument/2006/relationships/hyperlink" Target="https://www.slov-lex.sk/pravne-predpisy/SK/ZZ/2018/385/20190101.html" TargetMode="External"/><Relationship Id="rId17" Type="http://schemas.openxmlformats.org/officeDocument/2006/relationships/hyperlink" Target="https://www.financnasprava.sk/_img/pfsedit/Dokumenty_PFS/Zverejnovanie_dok/Sprievodca/Sprievodca_danami/2018/2018.01.12_SPRIEVODCA%20DANAMI_%20DPH.pdf" TargetMode="External"/><Relationship Id="rId25" Type="http://schemas.openxmlformats.org/officeDocument/2006/relationships/hyperlink" Target="https://www.nbs.sk/sk/statisticke-udaje/financne-institucie/banky/statisticke-udaje-penaznych-financnych-institucii" TargetMode="External"/><Relationship Id="rId33" Type="http://schemas.openxmlformats.org/officeDocument/2006/relationships/hyperlink" Target="https://finstat.sk/17330190" TargetMode="External"/><Relationship Id="rId38" Type="http://schemas.openxmlformats.org/officeDocument/2006/relationships/hyperlink" Target="http://datacube.statistics.sk/" TargetMode="External"/><Relationship Id="rId46" Type="http://schemas.openxmlformats.org/officeDocument/2006/relationships/hyperlink" Target="https://www.socpoist.sk/socialne-poistenie/o-socialnej-poistovni/povinne-zverejnovanie/hospodarenie-socialnej-poistovne" TargetMode="External"/><Relationship Id="rId59" Type="http://schemas.openxmlformats.org/officeDocument/2006/relationships/hyperlink" Target="https://www.slaspo.sk/27722" TargetMode="External"/><Relationship Id="rId67" Type="http://schemas.openxmlformats.org/officeDocument/2006/relationships/hyperlink" Target="https://www.minv.sk/?celkovy-pocet-evidovanych-vozidiel-v-sr" TargetMode="External"/><Relationship Id="rId20" Type="http://schemas.openxmlformats.org/officeDocument/2006/relationships/hyperlink" Target="https://cdn-api.bratislava.sk/strapi-homepage/upload/Zaverecny_ucet_hlavneho_mesta_SR_Bratislavy_za_rok_2023_2371a2dabb.pdf" TargetMode="External"/><Relationship Id="rId41" Type="http://schemas.openxmlformats.org/officeDocument/2006/relationships/hyperlink" Target="https://www.slov-lex.sk/pravne-predpisy/SK/ZZ/2004/564/20210101.html" TargetMode="External"/><Relationship Id="rId54" Type="http://schemas.openxmlformats.org/officeDocument/2006/relationships/hyperlink" Target="https://www.spp.sk/sk/domacnosti/plyn/tarify-a-ceny/" TargetMode="External"/><Relationship Id="rId62" Type="http://schemas.openxmlformats.org/officeDocument/2006/relationships/hyperlink" Target="https://www.minv.sk/?pocet-novoevidovanych-vozidiel" TargetMode="External"/><Relationship Id="rId70" Type="http://schemas.openxmlformats.org/officeDocument/2006/relationships/hyperlink" Target="https://www.sepsas.sk/Dokumenty/RocenkySed/ROCENKA_SED_2018.pdf" TargetMode="External"/><Relationship Id="rId75" Type="http://schemas.openxmlformats.org/officeDocument/2006/relationships/hyperlink" Target="https://www.mfsr.sk/sk/financie/statne-vykaznictvo/klucove-dokumenty-uctovne-zavierky/statny-zaverecny-ucet-sr/" TargetMode="External"/><Relationship Id="rId83" Type="http://schemas.openxmlformats.org/officeDocument/2006/relationships/hyperlink" Target="http://www.minv.sk/?zmena-vlastnictva-vozidla" TargetMode="External"/><Relationship Id="rId1" Type="http://schemas.openxmlformats.org/officeDocument/2006/relationships/hyperlink" Target="http://www.poistovne.sk/30241-sk/ake-poplatky-vas-pri-dochodkovom-sporeni-v-2-pilieri-cakaju.php" TargetMode="External"/><Relationship Id="rId6" Type="http://schemas.openxmlformats.org/officeDocument/2006/relationships/hyperlink" Target="https://www.slov-lex.sk/pravne-predpisy/SK/ZZ/2004/43/20230101.html" TargetMode="External"/><Relationship Id="rId15" Type="http://schemas.openxmlformats.org/officeDocument/2006/relationships/hyperlink" Target="https://www.finance.gov.sk/sk/financie/statne-vykaznictvo/statny-zaverecny-ucet-sr/" TargetMode="External"/><Relationship Id="rId23" Type="http://schemas.openxmlformats.org/officeDocument/2006/relationships/hyperlink" Target="https://datacube.statistics.sk/" TargetMode="External"/><Relationship Id="rId28" Type="http://schemas.openxmlformats.org/officeDocument/2006/relationships/hyperlink" Target="https://www.finstat.sk/36016411" TargetMode="External"/><Relationship Id="rId36" Type="http://schemas.openxmlformats.org/officeDocument/2006/relationships/hyperlink" Target="https://www.mfsr.sk/sk/financie/statne-vykaznictvo/klucove-dokumenty-uctovne-zavierky/statny-zaverecny-ucet-sr/" TargetMode="External"/><Relationship Id="rId49" Type="http://schemas.openxmlformats.org/officeDocument/2006/relationships/hyperlink" Target="https://www.nbs.sk/sk/statisticke-udaje/financne-institucie/banky/statisticke-udaje-penaznych-financnych-institucii/vklady" TargetMode="External"/><Relationship Id="rId57" Type="http://schemas.openxmlformats.org/officeDocument/2006/relationships/hyperlink" Target="https://www.mfsr.sk/sk/financie/statne-vykaznictvo/klucove-dokumenty-uctovne-zavierky/statny-zaverecny-ucet-sr/" TargetMode="External"/><Relationship Id="rId10" Type="http://schemas.openxmlformats.org/officeDocument/2006/relationships/hyperlink" Target="https://www.slov-lex.sk/pravne-predpisy/SK/ZZ/2001/311/20210101.html" TargetMode="External"/><Relationship Id="rId31" Type="http://schemas.openxmlformats.org/officeDocument/2006/relationships/hyperlink" Target="https://www.finstat.sk/00492736/zavierka" TargetMode="External"/><Relationship Id="rId44" Type="http://schemas.openxmlformats.org/officeDocument/2006/relationships/hyperlink" Target="https://www.slov-lex.sk/pravne-predpisy/SK/ZZ/2004/580/" TargetMode="External"/><Relationship Id="rId52" Type="http://schemas.openxmlformats.org/officeDocument/2006/relationships/hyperlink" Target="https://www.slov-lex.sk/pravne-predpisy/SK/ZZ/2004/43/20210101.html" TargetMode="External"/><Relationship Id="rId60" Type="http://schemas.openxmlformats.org/officeDocument/2006/relationships/hyperlink" Target="https://www.minv.sk/?pocet-zmien-drzby-vozidiel" TargetMode="External"/><Relationship Id="rId65" Type="http://schemas.openxmlformats.org/officeDocument/2006/relationships/hyperlink" Target="https://www.tpdcontrol.sk/cennik.html" TargetMode="External"/><Relationship Id="rId73" Type="http://schemas.openxmlformats.org/officeDocument/2006/relationships/hyperlink" Target="https://www.geotherm.sk/usetrit-za-vodu/" TargetMode="External"/><Relationship Id="rId78" Type="http://schemas.openxmlformats.org/officeDocument/2006/relationships/hyperlink" Target="https://podpora.financnasprava.sk/181867-Stravovanie-zamestnancov" TargetMode="External"/><Relationship Id="rId81" Type="http://schemas.openxmlformats.org/officeDocument/2006/relationships/hyperlink" Target="https://www.zssk.sk/wp-content/uploads/2021/10/Uctovna-zavierka-2020.pdf" TargetMode="External"/><Relationship Id="rId86" Type="http://schemas.openxmlformats.org/officeDocument/2006/relationships/drawing" Target="../drawings/drawing1.xml"/><Relationship Id="rId4" Type="http://schemas.openxmlformats.org/officeDocument/2006/relationships/hyperlink" Target="https://www.slov-lex.sk/pravne-predpisy/SK/ZZ/2003/461/20210101.html" TargetMode="External"/><Relationship Id="rId9" Type="http://schemas.openxmlformats.org/officeDocument/2006/relationships/hyperlink" Target="https://www.slov-lex.sk/pravne-predpisy/SK/ZZ/2003/595/20200101.html" TargetMode="External"/><Relationship Id="rId13" Type="http://schemas.openxmlformats.org/officeDocument/2006/relationships/hyperlink" Target="https://www.financnasprava.sk/_img/pfsedit/Dokumenty_PFS/Zverejnovanie_dok/Statistiky/Statny_rozpocet/2023/2024.01.03_prijmy_SR_2023_12.pdf" TargetMode="External"/><Relationship Id="rId18" Type="http://schemas.openxmlformats.org/officeDocument/2006/relationships/hyperlink" Target="https://www.soi.sk/files/documents/vyrocne-spravy/2020/vs%202020_finalna%20verzia.pdf" TargetMode="External"/><Relationship Id="rId39" Type="http://schemas.openxmlformats.org/officeDocument/2006/relationships/hyperlink" Target="http://datacube.statistics.sk/" TargetMode="External"/><Relationship Id="rId34" Type="http://schemas.openxmlformats.org/officeDocument/2006/relationships/hyperlink" Target="https://www.finance.gov.sk/sk/financie/statne-vykaznictvo/statny-zaverecny-ucet-sr/" TargetMode="External"/><Relationship Id="rId50" Type="http://schemas.openxmlformats.org/officeDocument/2006/relationships/hyperlink" Target="https://www.mfsr.sk/sk/financie/statne-vykaznictvo/klucove-dokumenty-uctovne-zavierky/statny-zaverecny-ucet-sr/" TargetMode="External"/><Relationship Id="rId55" Type="http://schemas.openxmlformats.org/officeDocument/2006/relationships/hyperlink" Target="http://www.svetdopravy.sk/moznost-podpory-refundacie-spotrebnej-dane-z-mineralnych-olejov-na-uzemi-slovenskej-republiky/" TargetMode="External"/><Relationship Id="rId76" Type="http://schemas.openxmlformats.org/officeDocument/2006/relationships/hyperlink" Target="https://www.mfsr.sk/sk/financie/statne-vykaznictvo/klucove-dokumenty-uctovne-zavierky/statny-zaverecny-ucet-sr/" TargetMode="External"/><Relationship Id="rId7" Type="http://schemas.openxmlformats.org/officeDocument/2006/relationships/hyperlink" Target="https://www.mfsr.sk/sk/financie/statne-vykaznictvo/klucove-dokumenty-uctovne-zavierky/statny-zaverecny-ucet-sr/" TargetMode="External"/><Relationship Id="rId71" Type="http://schemas.openxmlformats.org/officeDocument/2006/relationships/hyperlink" Target="https://www.spp.sk/sk/domacnosti/elektrina/dokumenty-a-tlaciva-na-stiahnutie/" TargetMode="External"/><Relationship Id="rId2" Type="http://schemas.openxmlformats.org/officeDocument/2006/relationships/hyperlink" Target="http://datacube.statistics.sk/" TargetMode="External"/><Relationship Id="rId29" Type="http://schemas.openxmlformats.org/officeDocument/2006/relationships/hyperlink" Target="https://finstat.sk/36545082" TargetMode="External"/><Relationship Id="rId24" Type="http://schemas.openxmlformats.org/officeDocument/2006/relationships/hyperlink" Target="https://www.finstat.sk/31701914" TargetMode="External"/><Relationship Id="rId40" Type="http://schemas.openxmlformats.org/officeDocument/2006/relationships/hyperlink" Target="http://datacube.statistics.sk/" TargetMode="External"/><Relationship Id="rId45" Type="http://schemas.openxmlformats.org/officeDocument/2006/relationships/hyperlink" Target="https://www.slov-lex.sk/pravne-predpisy/SK/ZZ/2004/580/" TargetMode="External"/><Relationship Id="rId66" Type="http://schemas.openxmlformats.org/officeDocument/2006/relationships/hyperlink" Target="https://www.finstat.sk/35919001/zavierka" TargetMode="External"/><Relationship Id="rId61" Type="http://schemas.openxmlformats.org/officeDocument/2006/relationships/hyperlink" Target="https://www.minv.sk/?pocet-individualne-dovezenych-vozidiel" TargetMode="External"/><Relationship Id="rId82" Type="http://schemas.openxmlformats.org/officeDocument/2006/relationships/hyperlink" Target="https://www.finstat.sk/35919001/zavierk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302"/>
  <sheetViews>
    <sheetView showGridLines="0" tabSelected="1" zoomScale="120" zoomScaleNormal="120" workbookViewId="0">
      <selection activeCell="L18" sqref="L18"/>
    </sheetView>
  </sheetViews>
  <sheetFormatPr defaultColWidth="8.85546875" defaultRowHeight="15" customHeight="1"/>
  <cols>
    <col min="1" max="1" width="55" style="1" customWidth="1"/>
    <col min="2" max="2" width="13" style="1" customWidth="1"/>
    <col min="3" max="3" width="9.42578125" style="1" customWidth="1"/>
    <col min="4" max="5" width="7.7109375" style="1" customWidth="1"/>
    <col min="6" max="6" width="7.140625" style="1" customWidth="1"/>
    <col min="7" max="7" width="7.7109375" style="1" customWidth="1"/>
    <col min="8" max="8" width="52.140625" style="1" hidden="1" customWidth="1"/>
    <col min="9" max="223" width="8.85546875" style="1" customWidth="1"/>
  </cols>
  <sheetData>
    <row r="1" spans="1:8" ht="16.5" customHeight="1">
      <c r="A1" s="134" t="str">
        <f>"Daňové zaťaženie občana SR v roku 2024: " &amp;ROUND(E60*100,2)&amp;"%"</f>
        <v>Daňové zaťaženie občana SR v roku 2024: 63,44%</v>
      </c>
      <c r="B1" s="135"/>
      <c r="C1" s="136"/>
      <c r="D1" s="136"/>
      <c r="E1" s="136"/>
      <c r="F1" s="137"/>
      <c r="G1" s="138"/>
      <c r="H1" s="2"/>
    </row>
    <row r="2" spans="1:8" ht="22.5" customHeight="1">
      <c r="A2" s="139" t="s">
        <v>0</v>
      </c>
      <c r="B2" s="47" t="s">
        <v>1</v>
      </c>
      <c r="C2" s="47" t="s">
        <v>2</v>
      </c>
      <c r="D2" s="47" t="s">
        <v>3</v>
      </c>
      <c r="E2" s="47" t="s">
        <v>4</v>
      </c>
      <c r="F2" s="47" t="s">
        <v>5</v>
      </c>
      <c r="G2" s="140" t="s">
        <v>6</v>
      </c>
      <c r="H2" s="3" t="s">
        <v>7</v>
      </c>
    </row>
    <row r="3" spans="1:8" ht="14.65" customHeight="1">
      <c r="A3" s="141" t="str">
        <f>"Celková odmena patriaca zamestnancovi (pri priemernej hrubej mzde "&amp;$B$92&amp;" EUR)"</f>
        <v>Celková odmena patriaca zamestnancovi (pri priemernej hrubej mzde 1524 EUR)</v>
      </c>
      <c r="B3" s="48"/>
      <c r="C3" s="49"/>
      <c r="D3" s="49"/>
      <c r="E3" s="50"/>
      <c r="F3" s="51"/>
      <c r="G3" s="142">
        <f>$B$92*(1+$B$93)+$B$95/12*$B$96*$B$97+$B$185/12</f>
        <v>2190.2545277777776</v>
      </c>
      <c r="H3" s="4"/>
    </row>
    <row r="4" spans="1:8" ht="14.65" customHeight="1">
      <c r="A4" s="143" t="s">
        <v>8</v>
      </c>
      <c r="B4" s="52" t="s">
        <v>9</v>
      </c>
      <c r="C4" s="53">
        <f>-D4/G3</f>
        <v>3.8510174166338333E-2</v>
      </c>
      <c r="D4" s="54">
        <f>-($B$95-20)/12*$B$96*$B$97</f>
        <v>-84.34708333333333</v>
      </c>
      <c r="E4" s="53">
        <f t="shared" ref="E4:E35" si="0">-D4/$G$3</f>
        <v>3.8510174166338333E-2</v>
      </c>
      <c r="F4" s="52" t="s">
        <v>10</v>
      </c>
      <c r="G4" s="144">
        <f t="shared" ref="G4:G35" si="1">G3+D4</f>
        <v>2105.9074444444441</v>
      </c>
      <c r="H4" s="4"/>
    </row>
    <row r="5" spans="1:8" ht="14.65" customHeight="1">
      <c r="A5" s="145" t="s">
        <v>202</v>
      </c>
      <c r="B5" s="55" t="s">
        <v>9</v>
      </c>
      <c r="C5" s="56">
        <f>-D5/G3</f>
        <v>1.0463015314442844E-2</v>
      </c>
      <c r="D5" s="57">
        <f>-$B$185/12</f>
        <v>-22.916666666666668</v>
      </c>
      <c r="E5" s="56">
        <f t="shared" ref="E5" si="2">-D5/$G$3</f>
        <v>1.0463015314442844E-2</v>
      </c>
      <c r="F5" s="55" t="s">
        <v>10</v>
      </c>
      <c r="G5" s="146">
        <f t="shared" ref="G5:G6" si="3">G4+D5</f>
        <v>2082.9907777777776</v>
      </c>
      <c r="H5" s="4"/>
    </row>
    <row r="6" spans="1:8" ht="14.65" customHeight="1">
      <c r="A6" s="145" t="s">
        <v>11</v>
      </c>
      <c r="B6" s="55" t="s">
        <v>9</v>
      </c>
      <c r="C6" s="56">
        <f>-D6/G3</f>
        <v>0.21291771987484517</v>
      </c>
      <c r="D6" s="57">
        <f>-($B$99+$B$98-$B$100)*$B$92</f>
        <v>-466.34400000000016</v>
      </c>
      <c r="E6" s="56">
        <f t="shared" si="0"/>
        <v>0.21291771987484517</v>
      </c>
      <c r="F6" s="55" t="s">
        <v>12</v>
      </c>
      <c r="G6" s="146">
        <f t="shared" si="3"/>
        <v>1616.6467777777775</v>
      </c>
      <c r="H6" s="7"/>
    </row>
    <row r="7" spans="1:8" ht="14.65" customHeight="1">
      <c r="A7" s="145" t="str">
        <f>"Odvody do dôchodkovej správcovskej spoločnosti ("&amp;(100%-$B$101)&amp;""&amp;")"</f>
        <v>Odvody do dôchodkovej správcovskej spoločnosti (0,996)</v>
      </c>
      <c r="B7" s="55" t="s">
        <v>9</v>
      </c>
      <c r="C7" s="56">
        <f>-D7/G3</f>
        <v>2.7721052156254342E-2</v>
      </c>
      <c r="D7" s="57">
        <f>-$B$100*$B$92*(1-$B$101)</f>
        <v>-60.716160000000002</v>
      </c>
      <c r="E7" s="56">
        <f t="shared" si="0"/>
        <v>2.7721052156254342E-2</v>
      </c>
      <c r="F7" s="55" t="s">
        <v>12</v>
      </c>
      <c r="G7" s="146">
        <f t="shared" si="1"/>
        <v>1555.9306177777776</v>
      </c>
      <c r="H7" s="7"/>
    </row>
    <row r="8" spans="1:8" ht="14.65" customHeight="1">
      <c r="A8" s="145" t="str">
        <f>"Odvody do dôchodkovej správcovskej spoločnosti ("&amp;$B$101&amp;")"</f>
        <v>Odvody do dôchodkovej správcovskej spoločnosti (0,004)</v>
      </c>
      <c r="B8" s="55" t="s">
        <v>9</v>
      </c>
      <c r="C8" s="56">
        <f>-D8/G3</f>
        <v>1.1132952673194515E-4</v>
      </c>
      <c r="D8" s="57">
        <f>-$B$100*$B$92*$B$101</f>
        <v>-0.24384</v>
      </c>
      <c r="E8" s="56">
        <f t="shared" si="0"/>
        <v>1.1132952673194515E-4</v>
      </c>
      <c r="F8" s="55" t="s">
        <v>10</v>
      </c>
      <c r="G8" s="146">
        <f t="shared" si="1"/>
        <v>1555.6867777777775</v>
      </c>
      <c r="H8" s="8" t="s">
        <v>13</v>
      </c>
    </row>
    <row r="9" spans="1:8" ht="14.65" customHeight="1">
      <c r="A9" s="145" t="str">
        <f>"Odvody do zdravotnej poisťovne ("&amp;(100%-B104)&amp;")"</f>
        <v>Odvody do zdravotnej poisťovne (0,99)</v>
      </c>
      <c r="B9" s="55" t="s">
        <v>9</v>
      </c>
      <c r="C9" s="56">
        <f>-D9/G3</f>
        <v>0.10332771699808659</v>
      </c>
      <c r="D9" s="57">
        <f>-($B$102+$B$103)*$B$92*(1-$B$104)</f>
        <v>-226.31399999999999</v>
      </c>
      <c r="E9" s="56">
        <f t="shared" si="0"/>
        <v>0.10332771699808659</v>
      </c>
      <c r="F9" s="55" t="s">
        <v>12</v>
      </c>
      <c r="G9" s="146">
        <f t="shared" si="1"/>
        <v>1329.3727777777774</v>
      </c>
      <c r="H9" s="7"/>
    </row>
    <row r="10" spans="1:8" ht="14.65" customHeight="1">
      <c r="A10" s="145" t="str">
        <f>"Odvody do zdravotnej poisťovne ("&amp;$B104&amp;")"</f>
        <v>Odvody do zdravotnej poisťovne (0,01)</v>
      </c>
      <c r="B10" s="55" t="s">
        <v>9</v>
      </c>
      <c r="C10" s="56">
        <f>-D10/G3</f>
        <v>1.0437143131119858E-3</v>
      </c>
      <c r="D10" s="57">
        <f>-($B$102+$B$103)*$B$92*$B$104</f>
        <v>-2.286</v>
      </c>
      <c r="E10" s="56">
        <f t="shared" si="0"/>
        <v>1.0437143131119858E-3</v>
      </c>
      <c r="F10" s="55" t="s">
        <v>10</v>
      </c>
      <c r="G10" s="146">
        <f t="shared" si="1"/>
        <v>1327.0867777777773</v>
      </c>
      <c r="H10" s="7"/>
    </row>
    <row r="11" spans="1:8" ht="14.65" customHeight="1">
      <c r="A11" s="145" t="str">
        <f>"Daň z príjmov fyzických osôb ("&amp;$B$107&amp;")"</f>
        <v>Daň z príjmov fyzických osôb (0)</v>
      </c>
      <c r="B11" s="55" t="s">
        <v>9</v>
      </c>
      <c r="C11" s="56">
        <f>-D11/G3</f>
        <v>0</v>
      </c>
      <c r="D11" s="57">
        <f>-$B$105/$B$106/12*$B$107</f>
        <v>0</v>
      </c>
      <c r="E11" s="56">
        <f t="shared" si="0"/>
        <v>0</v>
      </c>
      <c r="F11" s="55" t="s">
        <v>12</v>
      </c>
      <c r="G11" s="146">
        <f t="shared" si="1"/>
        <v>1327.0867777777773</v>
      </c>
      <c r="H11" s="7"/>
    </row>
    <row r="12" spans="1:8" ht="14.65" customHeight="1">
      <c r="A12" s="145" t="str">
        <f>"Daň z príjmov fyzických osôb ("&amp;$B$108&amp;")"</f>
        <v>Daň z príjmov fyzických osôb (0,3)</v>
      </c>
      <c r="B12" s="55" t="s">
        <v>9</v>
      </c>
      <c r="C12" s="56">
        <f>-D12/G3</f>
        <v>2.0450881772068594E-2</v>
      </c>
      <c r="D12" s="57">
        <f>-$B$105/$B$106/12*$B$108</f>
        <v>-44.792636398321257</v>
      </c>
      <c r="E12" s="56">
        <f t="shared" si="0"/>
        <v>2.0450881772068594E-2</v>
      </c>
      <c r="F12" s="55" t="s">
        <v>14</v>
      </c>
      <c r="G12" s="146">
        <f t="shared" si="1"/>
        <v>1282.2941413794561</v>
      </c>
      <c r="H12" s="7"/>
    </row>
    <row r="13" spans="1:8" ht="14.65" customHeight="1">
      <c r="A13" s="147" t="str">
        <f>"Daň z príjmov fyzických osôb ("&amp;$B$109&amp;")"</f>
        <v>Daň z príjmov fyzických osôb (0,7)</v>
      </c>
      <c r="B13" s="58" t="s">
        <v>9</v>
      </c>
      <c r="C13" s="59">
        <f>-D13/G3</f>
        <v>4.7718724134826709E-2</v>
      </c>
      <c r="D13" s="60">
        <f>-$B$105/$B$106/12*$B$109</f>
        <v>-104.51615159608292</v>
      </c>
      <c r="E13" s="59">
        <f t="shared" si="0"/>
        <v>4.7718724134826709E-2</v>
      </c>
      <c r="F13" s="58" t="s">
        <v>15</v>
      </c>
      <c r="G13" s="148">
        <f t="shared" si="1"/>
        <v>1177.7779897833732</v>
      </c>
      <c r="H13" s="4"/>
    </row>
    <row r="14" spans="1:8" ht="14.65" customHeight="1">
      <c r="A14" s="145" t="s">
        <v>256</v>
      </c>
      <c r="B14" s="62" t="s">
        <v>16</v>
      </c>
      <c r="C14" s="63">
        <f>$B$117*$B$113/($B$113+$B$114)+$B$118*($B$114/($B$113+$B$114))</f>
        <v>0.98798444805048535</v>
      </c>
      <c r="D14" s="54">
        <f>-C$14*($B$115*$B$113/($B$113+$B$114)+$B$116*$B$114/($B$113+$B$114))*(($B$113+$B$114)/SUM($B$110:$B$112))/12</f>
        <v>-4.0386718255985237</v>
      </c>
      <c r="E14" s="53">
        <f t="shared" si="0"/>
        <v>1.8439280797634702E-3</v>
      </c>
      <c r="F14" s="52" t="s">
        <v>15</v>
      </c>
      <c r="G14" s="144">
        <f t="shared" si="1"/>
        <v>1173.7393179577746</v>
      </c>
      <c r="H14" s="9"/>
    </row>
    <row r="15" spans="1:8" ht="14.65" customHeight="1">
      <c r="A15" s="145" t="str">
        <f>"Poplatok za komunálny odpad (" &amp; ROUND((B106-B112)/(B113+B114),2) &amp; " osoby/" &amp; C15 &amp;"/nehnuteľ./rok)"</f>
        <v>Poplatok za komunálny odpad (0,7 osoby/47,85/nehnuteľ./rok)</v>
      </c>
      <c r="B15" s="64" t="s">
        <v>16</v>
      </c>
      <c r="C15" s="57">
        <f>ROUND(výpočty!C43,2)</f>
        <v>47.85</v>
      </c>
      <c r="D15" s="57">
        <f>-$C15/12*$B$119/SUM($B$110:$B$112)</f>
        <v>-5.3692620335358043</v>
      </c>
      <c r="E15" s="56">
        <f t="shared" si="0"/>
        <v>2.451432911307999E-3</v>
      </c>
      <c r="F15" s="55" t="s">
        <v>15</v>
      </c>
      <c r="G15" s="146">
        <f t="shared" si="1"/>
        <v>1168.3700559242388</v>
      </c>
      <c r="H15" s="7"/>
    </row>
    <row r="16" spans="1:8" ht="14.45" customHeight="1">
      <c r="A16" s="145" t="s">
        <v>17</v>
      </c>
      <c r="B16" s="64" t="s">
        <v>16</v>
      </c>
      <c r="C16" s="57">
        <f>$B$120</f>
        <v>33.729999999999997</v>
      </c>
      <c r="D16" s="57">
        <f>-C16*0.4/12/SUM($B$110:$B$112)</f>
        <v>-0.27935322894815018</v>
      </c>
      <c r="E16" s="56">
        <f t="shared" si="0"/>
        <v>1.2754372855084596E-4</v>
      </c>
      <c r="F16" s="55" t="s">
        <v>15</v>
      </c>
      <c r="G16" s="146">
        <f t="shared" si="1"/>
        <v>1168.0907026952907</v>
      </c>
      <c r="H16" s="10" t="s">
        <v>18</v>
      </c>
    </row>
    <row r="17" spans="1:8" ht="14.65" hidden="1" customHeight="1">
      <c r="A17" s="145" t="s">
        <v>19</v>
      </c>
      <c r="B17" s="64" t="s">
        <v>16</v>
      </c>
      <c r="C17" s="57">
        <f>$B$136</f>
        <v>0</v>
      </c>
      <c r="D17" s="57">
        <f>-(C17*$B$110+C17/2*($B$112+$B$111))/(SUM($B$110:$B$112))*(($B$113+$B$114)/($B$110+$B$111+$B$112))</f>
        <v>0</v>
      </c>
      <c r="E17" s="56">
        <f t="shared" si="0"/>
        <v>0</v>
      </c>
      <c r="F17" s="55" t="s">
        <v>12</v>
      </c>
      <c r="G17" s="146">
        <f t="shared" si="1"/>
        <v>1168.0907026952907</v>
      </c>
      <c r="H17" s="7"/>
    </row>
    <row r="18" spans="1:8" ht="14.65" customHeight="1">
      <c r="A18" s="145" t="str">
        <f>"Daň z príjmov vyberaná zrážkou ("&amp;ROUND($B$122/1000,2)&amp;" mld. EUR úspor obyvateľstva v bankách a podielových fondoch)"</f>
        <v>Daň z príjmov vyberaná zrážkou (62,38 mld. EUR úspor obyvateľstva v bankách a podielových fondoch)</v>
      </c>
      <c r="B18" s="64" t="s">
        <v>16</v>
      </c>
      <c r="C18" s="56">
        <f>$B$121/$B$122</f>
        <v>8.4832190336533789E-3</v>
      </c>
      <c r="D18" s="57">
        <f>-$B$121/12/SUM($B$110:$B$112)</f>
        <v>-10.956104439513318</v>
      </c>
      <c r="E18" s="56">
        <f t="shared" si="0"/>
        <v>5.0022060452623888E-3</v>
      </c>
      <c r="F18" s="55" t="s">
        <v>12</v>
      </c>
      <c r="G18" s="146">
        <f>G17+D18</f>
        <v>1157.1345982557773</v>
      </c>
      <c r="H18" s="7"/>
    </row>
    <row r="19" spans="1:8" ht="14.65" customHeight="1">
      <c r="A19" s="145" t="str">
        <f>"Povinné zmluvné poistenie zodp. za škodu spôsobenú prevádz. mot. vozidla (priemer  ("&amp;ROUND($B$123,3)&amp;")/rok)  (92%)"</f>
        <v>Povinné zmluvné poistenie zodp. za škodu spôsobenú prevádz. mot. vozidla (priemer  (120,616)/rok)  (92%)</v>
      </c>
      <c r="B19" s="64" t="s">
        <v>16</v>
      </c>
      <c r="C19" s="57">
        <f>$B$123*92%</f>
        <v>110.96706245362908</v>
      </c>
      <c r="D19" s="57">
        <f>-C19/12*($B$124*$B$128/SUM($B$110:$B$112))</f>
        <v>-6.2551525437261315</v>
      </c>
      <c r="E19" s="56">
        <f t="shared" si="0"/>
        <v>2.8559021174916054E-3</v>
      </c>
      <c r="F19" s="55" t="s">
        <v>10</v>
      </c>
      <c r="G19" s="146">
        <f t="shared" si="1"/>
        <v>1150.8794457120512</v>
      </c>
      <c r="H19" s="7"/>
    </row>
    <row r="20" spans="1:8" ht="14.65" customHeight="1">
      <c r="A20" s="145" t="s">
        <v>37</v>
      </c>
      <c r="B20" s="55" t="s">
        <v>16</v>
      </c>
      <c r="C20" s="57">
        <f>$B$131/1.2</f>
        <v>70</v>
      </c>
      <c r="D20" s="57">
        <f>-C20/24*($B$124*$B$128)/SUM($B$110:$B$112)</f>
        <v>-1.9729308336147156</v>
      </c>
      <c r="E20" s="56">
        <f>-D20/$G$3</f>
        <v>9.0077696842678933E-4</v>
      </c>
      <c r="F20" s="55" t="s">
        <v>10</v>
      </c>
      <c r="G20" s="146">
        <f t="shared" si="1"/>
        <v>1148.9065148784364</v>
      </c>
      <c r="H20" s="10" t="s">
        <v>38</v>
      </c>
    </row>
    <row r="21" spans="1:8" ht="14.65" customHeight="1">
      <c r="A21" s="145" t="s">
        <v>226</v>
      </c>
      <c r="B21" s="64" t="s">
        <v>16</v>
      </c>
      <c r="C21" s="57">
        <v>0</v>
      </c>
      <c r="D21" s="57">
        <f>-C21/12*($B$124*$B$128/SUM($B$110:$B$112))</f>
        <v>0</v>
      </c>
      <c r="E21" s="56">
        <f t="shared" si="0"/>
        <v>0</v>
      </c>
      <c r="F21" s="55" t="s">
        <v>12</v>
      </c>
      <c r="G21" s="146">
        <f t="shared" si="1"/>
        <v>1148.9065148784364</v>
      </c>
      <c r="H21" s="7"/>
    </row>
    <row r="22" spans="1:8" ht="14.65" customHeight="1">
      <c r="A22" s="149" t="s">
        <v>20</v>
      </c>
      <c r="B22" s="83" t="s">
        <v>16</v>
      </c>
      <c r="C22" s="84">
        <f>-D22</f>
        <v>2.1952790877895474</v>
      </c>
      <c r="D22" s="84">
        <f>-($B$175)/12/SUM($B$110:$B$112)</f>
        <v>-2.1952790877895474</v>
      </c>
      <c r="E22" s="85">
        <f t="shared" si="0"/>
        <v>1.0022940530189739E-3</v>
      </c>
      <c r="F22" s="86" t="s">
        <v>12</v>
      </c>
      <c r="G22" s="150">
        <f>G21+D22</f>
        <v>1146.7112357906469</v>
      </c>
      <c r="H22" s="7"/>
    </row>
    <row r="23" spans="1:8" ht="14.65" customHeight="1">
      <c r="A23" s="145" t="str">
        <f>"Registračná daň na automobil ("&amp;ROUND($B$125*1000,1)&amp;" tis. nových + "&amp;ROUND($B$126*1000,1)&amp;" tis. dovezených os. automobilov ročne)"</f>
        <v>Registračná daň na automobil (915,4 tis. nových + 61,8 tis. dovezených os. automobilov ročne)</v>
      </c>
      <c r="B23" s="55" t="s">
        <v>21</v>
      </c>
      <c r="C23" s="46">
        <f>$B$129</f>
        <v>33</v>
      </c>
      <c r="D23" s="57">
        <f>-C23/12*(($B$125+$B$126)/SUM($B$110:$B$112))</f>
        <v>-0.66773834201332605</v>
      </c>
      <c r="E23" s="56">
        <f t="shared" si="0"/>
        <v>3.0486791993568455E-4</v>
      </c>
      <c r="F23" s="55" t="s">
        <v>12</v>
      </c>
      <c r="G23" s="146">
        <f t="shared" si="1"/>
        <v>1146.0434974486336</v>
      </c>
      <c r="H23" s="11"/>
    </row>
    <row r="24" spans="1:8" ht="14.65" customHeight="1">
      <c r="A24" s="151" t="str">
        <f>"Registrácia zmeny majiteľa mot. vozidla ("&amp;ROUND($B$127*1000,1)&amp;" tis. os. automobilov ročne)"</f>
        <v>Registrácia zmeny majiteľa mot. vozidla (354,4 tis. os. automobilov ročne)</v>
      </c>
      <c r="B24" s="55" t="s">
        <v>21</v>
      </c>
      <c r="C24" s="46">
        <f>$B$130</f>
        <v>12</v>
      </c>
      <c r="D24" s="57">
        <f>-C24/12*(($B$127)/SUM($B$110:$B$112))</f>
        <v>-8.8044468594874789E-2</v>
      </c>
      <c r="E24" s="56">
        <f t="shared" si="0"/>
        <v>4.0198281742261395E-5</v>
      </c>
      <c r="F24" s="55" t="s">
        <v>12</v>
      </c>
      <c r="G24" s="146">
        <f t="shared" si="1"/>
        <v>1145.9554529800387</v>
      </c>
      <c r="H24" s="7"/>
    </row>
    <row r="25" spans="1:8" ht="14.65" customHeight="1">
      <c r="A25" s="145" t="s">
        <v>22</v>
      </c>
      <c r="B25" s="55" t="s">
        <v>21</v>
      </c>
      <c r="C25" s="57">
        <f>-D25</f>
        <v>3.9175800929228393</v>
      </c>
      <c r="D25" s="57">
        <f>-($B$133-($B$129*($B$125+$B$126))-$B$127)/(SUM($B$110:$B$112))/12+ABS(D23)+ABS(D24)</f>
        <v>-3.9175800929228393</v>
      </c>
      <c r="E25" s="56">
        <f t="shared" si="0"/>
        <v>1.788641476704353E-3</v>
      </c>
      <c r="F25" s="55" t="s">
        <v>12</v>
      </c>
      <c r="G25" s="146">
        <f t="shared" si="1"/>
        <v>1142.0378728871158</v>
      </c>
      <c r="H25" s="7"/>
    </row>
    <row r="26" spans="1:8" ht="14.65" customHeight="1">
      <c r="A26" s="145" t="s">
        <v>25</v>
      </c>
      <c r="B26" s="55" t="s">
        <v>21</v>
      </c>
      <c r="C26" s="57">
        <f>-D26</f>
        <v>7.1899707138762858</v>
      </c>
      <c r="D26" s="57">
        <f>-$B$134/SUM($B$110:$B$112)/12</f>
        <v>-7.1899707138762858</v>
      </c>
      <c r="E26" s="56">
        <f t="shared" si="0"/>
        <v>3.2827101246407182E-3</v>
      </c>
      <c r="F26" s="55" t="s">
        <v>12</v>
      </c>
      <c r="G26" s="146">
        <f t="shared" si="1"/>
        <v>1134.8479021732394</v>
      </c>
      <c r="H26" s="7"/>
    </row>
    <row r="27" spans="1:8" ht="14.65" customHeight="1">
      <c r="A27" s="145" t="s">
        <v>26</v>
      </c>
      <c r="B27" s="55" t="s">
        <v>21</v>
      </c>
      <c r="C27" s="57">
        <f>-D27</f>
        <v>0.2896270588842319</v>
      </c>
      <c r="D27" s="57">
        <f>-$B$135/12/SUM($B$110:$B$112)</f>
        <v>-0.2896270588842319</v>
      </c>
      <c r="E27" s="56">
        <f t="shared" si="0"/>
        <v>1.3223442993088398E-4</v>
      </c>
      <c r="F27" s="55" t="s">
        <v>12</v>
      </c>
      <c r="G27" s="146">
        <f t="shared" si="1"/>
        <v>1134.5582751143552</v>
      </c>
      <c r="H27" s="4"/>
    </row>
    <row r="28" spans="1:8" ht="14.65" customHeight="1">
      <c r="A28" s="145" t="s">
        <v>27</v>
      </c>
      <c r="B28" s="55" t="s">
        <v>21</v>
      </c>
      <c r="C28" s="56">
        <f>-D28/G27</f>
        <v>0.15964474042838295</v>
      </c>
      <c r="D28" s="57">
        <f>-(G27-G27/(1+B176))</f>
        <v>-181.12626133150513</v>
      </c>
      <c r="E28" s="56">
        <f t="shared" si="0"/>
        <v>8.2696444196042829E-2</v>
      </c>
      <c r="F28" s="55" t="s">
        <v>12</v>
      </c>
      <c r="G28" s="146">
        <f t="shared" si="1"/>
        <v>953.43201378285005</v>
      </c>
      <c r="H28" s="7"/>
    </row>
    <row r="29" spans="1:8" ht="14.65" customHeight="1">
      <c r="A29" s="145" t="str">
        <f>"Spotrebná daň z piva (priemerná spotreba "&amp;B177&amp;"/l/rok)"</f>
        <v>Spotrebná daň z piva (priemerná spotreba 52,3/l/rok)</v>
      </c>
      <c r="B29" s="55" t="s">
        <v>21</v>
      </c>
      <c r="C29" s="121">
        <f>0.07907*(1080*2/12+1490*10/12)*0.042*$B$177/12/100</f>
        <v>0.20576867109166666</v>
      </c>
      <c r="D29" s="57">
        <f>-C29*$B$177*$B$119/SUM($B$110:$B$112)/12</f>
        <v>-1.207573568860238</v>
      </c>
      <c r="E29" s="56">
        <f t="shared" si="0"/>
        <v>5.5133937793313767E-4</v>
      </c>
      <c r="F29" s="55" t="s">
        <v>12</v>
      </c>
      <c r="G29" s="146">
        <f t="shared" si="1"/>
        <v>952.22444021398985</v>
      </c>
      <c r="H29" s="10" t="s">
        <v>28</v>
      </c>
    </row>
    <row r="30" spans="1:8" ht="14.65" customHeight="1">
      <c r="A30" s="145" t="str">
        <f>"Spotrebná daň z liehu (priemerná spotreba "&amp;B178&amp;"/l/rok)"</f>
        <v>Spotrebná daň z liehu (priemerná spotreba 9,1/l/rok)</v>
      </c>
      <c r="B30" s="55" t="s">
        <v>21</v>
      </c>
      <c r="C30" s="121">
        <f>2/12*40%*1080/100+10/12*40%*1490/100</f>
        <v>5.6866666666666674</v>
      </c>
      <c r="D30" s="57">
        <f>-C30*$B$178*$B$119/SUM($B$110:$B$112)/12</f>
        <v>-5.8067325228721671</v>
      </c>
      <c r="E30" s="56">
        <f t="shared" si="0"/>
        <v>2.6511679118698828E-3</v>
      </c>
      <c r="F30" s="55" t="s">
        <v>12</v>
      </c>
      <c r="G30" s="146">
        <f t="shared" si="1"/>
        <v>946.4177076911177</v>
      </c>
      <c r="H30" s="10" t="s">
        <v>28</v>
      </c>
    </row>
    <row r="31" spans="1:8" ht="14.65" customHeight="1">
      <c r="A31" s="145" t="s">
        <v>196</v>
      </c>
      <c r="B31" s="55" t="s">
        <v>21</v>
      </c>
      <c r="C31" s="45">
        <f>148/1000</f>
        <v>0.14799999999999999</v>
      </c>
      <c r="D31" s="57">
        <f>-C31*$B$179*$B$119/SUM($B$110:$B$112)/12</f>
        <v>-21.56693060701809</v>
      </c>
      <c r="E31" s="56">
        <f t="shared" si="0"/>
        <v>9.8467691008039138E-3</v>
      </c>
      <c r="F31" s="55" t="s">
        <v>12</v>
      </c>
      <c r="G31" s="146">
        <f t="shared" si="1"/>
        <v>924.8507770840996</v>
      </c>
      <c r="H31" s="10" t="s">
        <v>29</v>
      </c>
    </row>
    <row r="32" spans="1:8" ht="14.65" customHeight="1">
      <c r="A32" s="145" t="str">
        <f>"Spotrebná daň z elektriny (spotreba " &amp;ROUND(B137,2)&amp;" MWh/mesiac)"</f>
        <v>Spotrebná daň z elektriny (spotreba 0,41 MWh/mesiac)</v>
      </c>
      <c r="B32" s="55" t="s">
        <v>21</v>
      </c>
      <c r="C32" s="46">
        <v>1.32</v>
      </c>
      <c r="D32" s="57">
        <f>-C32*$B$137*($B$113+$B$114)/SUM($B$110:$B$112)</f>
        <v>-0.27727243820487274</v>
      </c>
      <c r="E32" s="56">
        <f t="shared" si="0"/>
        <v>1.2659370620554867E-4</v>
      </c>
      <c r="F32" s="55" t="s">
        <v>12</v>
      </c>
      <c r="G32" s="146">
        <f t="shared" si="1"/>
        <v>924.57350464589479</v>
      </c>
      <c r="H32" s="10" t="s">
        <v>30</v>
      </c>
    </row>
    <row r="33" spans="1:8" ht="14.65" customHeight="1">
      <c r="A33" s="145" t="str">
        <f>"Distribučné poplatky za elektrinu (spotreba " &amp;ROUND(B137,2) &amp;" MWh/mesiac) (51%)"</f>
        <v>Distribučné poplatky za elektrinu (spotreba 0,41 MWh/mesiac) (51%)</v>
      </c>
      <c r="B33" s="55" t="s">
        <v>21</v>
      </c>
      <c r="C33" s="46">
        <f>($B$139+$B$138/$B$137)*51%</f>
        <v>31.695790083809158</v>
      </c>
      <c r="D33" s="57">
        <f>-C33*$B$137*($B$113+$B$114)/SUM($B$110:$B$112)</f>
        <v>-6.6578553010360553</v>
      </c>
      <c r="E33" s="56">
        <f t="shared" si="0"/>
        <v>3.0397632862291511E-3</v>
      </c>
      <c r="F33" s="55" t="s">
        <v>12</v>
      </c>
      <c r="G33" s="146">
        <f t="shared" si="1"/>
        <v>917.91564934485871</v>
      </c>
      <c r="H33" s="7"/>
    </row>
    <row r="34" spans="1:8" ht="14.65" customHeight="1">
      <c r="A34" s="145" t="str">
        <f>"Distribučné poplatky za elektrinu (spotreba " &amp;ROUND(B137,2) &amp;" MWh/mesiac) (49%)"</f>
        <v>Distribučné poplatky za elektrinu (spotreba 0,41 MWh/mesiac) (49%)</v>
      </c>
      <c r="B34" s="55" t="s">
        <v>21</v>
      </c>
      <c r="C34" s="46">
        <f>($B$139+$B$138/$B$137)*49%</f>
        <v>30.452817923659779</v>
      </c>
      <c r="D34" s="57">
        <f>-C34*$B$137*($B$113+$B$114)/SUM($B$110:$B$112)</f>
        <v>-6.3967629362895426</v>
      </c>
      <c r="E34" s="56">
        <f t="shared" si="0"/>
        <v>2.9205568828476157E-3</v>
      </c>
      <c r="F34" s="55" t="s">
        <v>10</v>
      </c>
      <c r="G34" s="146">
        <f t="shared" si="1"/>
        <v>911.51888640856919</v>
      </c>
      <c r="H34" s="7"/>
    </row>
    <row r="35" spans="1:8" ht="14.65" customHeight="1">
      <c r="A35" s="145" t="str">
        <f>"Spotrebná daň zo zemného plynu (spotreba "&amp;ROUND(B163,2)&amp;" MWh/rok)"</f>
        <v>Spotrebná daň zo zemného plynu (spotreba 11,18 MWh/rok)</v>
      </c>
      <c r="B35" s="55" t="s">
        <v>21</v>
      </c>
      <c r="C35" s="46">
        <v>1.32</v>
      </c>
      <c r="D35" s="57">
        <f>-C35*$C$163*($B$113+$B$114)/SUM($B$110:$B$112)</f>
        <v>-5.7116999420862431</v>
      </c>
      <c r="E35" s="56">
        <f t="shared" si="0"/>
        <v>2.6077790821331199E-3</v>
      </c>
      <c r="F35" s="55" t="s">
        <v>12</v>
      </c>
      <c r="G35" s="146">
        <f t="shared" si="1"/>
        <v>905.8071864664829</v>
      </c>
      <c r="H35" s="7"/>
    </row>
    <row r="36" spans="1:8" ht="14.65" customHeight="1">
      <c r="A36" s="145" t="str">
        <f>"Distribučné poplatky za plyn (spotreba "&amp;ROUND(B163,2)&amp;" MWh/rok) (51%)"</f>
        <v>Distribučné poplatky za plyn (spotreba 11,18 MWh/rok) (51%)</v>
      </c>
      <c r="B36" s="55" t="s">
        <v>21</v>
      </c>
      <c r="C36" s="46">
        <f>($B$140+$B$141)*51%</f>
        <v>32.28392670008968</v>
      </c>
      <c r="D36" s="57">
        <f>-C36*$C$163/12*($B$113+$B$114)/SUM($B$110:$B$112)</f>
        <v>-11.641168072172899</v>
      </c>
      <c r="E36" s="56">
        <f t="shared" ref="E36:E60" si="4">-D36/$G$3</f>
        <v>5.3149841374755544E-3</v>
      </c>
      <c r="F36" s="55" t="s">
        <v>12</v>
      </c>
      <c r="G36" s="146">
        <f t="shared" ref="G36:G59" si="5">G35+D36</f>
        <v>894.16601839430996</v>
      </c>
      <c r="H36" s="7"/>
    </row>
    <row r="37" spans="1:8" ht="14.65" customHeight="1">
      <c r="A37" s="145" t="str">
        <f>"Distribučné poplatky za plyn (spotreba "&amp;ROUND(B163,2)&amp;" MWh/rok) (49%)"</f>
        <v>Distribučné poplatky za plyn (spotreba 11,18 MWh/rok) (49%)</v>
      </c>
      <c r="B37" s="55" t="s">
        <v>21</v>
      </c>
      <c r="C37" s="46">
        <f>($B$140+$B$141)*49%</f>
        <v>31.017890358909689</v>
      </c>
      <c r="D37" s="57">
        <f>-C37*$C$163/12*($B$113+$B$114)/SUM($B$110:$B$112)</f>
        <v>-11.184651677185727</v>
      </c>
      <c r="E37" s="56">
        <f t="shared" si="4"/>
        <v>5.1065533869863169E-3</v>
      </c>
      <c r="F37" s="55" t="s">
        <v>10</v>
      </c>
      <c r="G37" s="146">
        <f t="shared" si="5"/>
        <v>882.98136671712427</v>
      </c>
      <c r="H37" s="7"/>
    </row>
    <row r="38" spans="1:8" ht="14.65" customHeight="1">
      <c r="A38" s="151" t="s">
        <v>31</v>
      </c>
      <c r="B38" s="55" t="s">
        <v>21</v>
      </c>
      <c r="C38" s="65">
        <v>0.51400000000000001</v>
      </c>
      <c r="D38" s="57">
        <f>-C38*$B$142/12*($B$124*$B$128/SUM($B$110:$B$112))</f>
        <v>-28.249551064743279</v>
      </c>
      <c r="E38" s="56">
        <f t="shared" si="4"/>
        <v>1.2897839363631014E-2</v>
      </c>
      <c r="F38" s="55" t="s">
        <v>12</v>
      </c>
      <c r="G38" s="146">
        <f t="shared" si="5"/>
        <v>854.73181565238099</v>
      </c>
      <c r="H38" s="7"/>
    </row>
    <row r="39" spans="1:8" ht="14.65" customHeight="1">
      <c r="A39" s="151" t="s">
        <v>32</v>
      </c>
      <c r="B39" s="55" t="s">
        <v>21</v>
      </c>
      <c r="C39" s="45">
        <f>0.003705</f>
        <v>3.705E-3</v>
      </c>
      <c r="D39" s="57">
        <f>-C39*$B$142/12*($B$124*$B$128/SUM($B$110:$B$112))</f>
        <v>-0.20362760057368454</v>
      </c>
      <c r="E39" s="56">
        <f t="shared" si="4"/>
        <v>9.2969834323449233E-5</v>
      </c>
      <c r="F39" s="55" t="s">
        <v>12</v>
      </c>
      <c r="G39" s="146">
        <f t="shared" si="5"/>
        <v>854.52818805180732</v>
      </c>
      <c r="H39" s="10" t="s">
        <v>33</v>
      </c>
    </row>
    <row r="40" spans="1:8" ht="14.65" customHeight="1">
      <c r="A40" s="145" t="s">
        <v>34</v>
      </c>
      <c r="B40" s="55" t="s">
        <v>21</v>
      </c>
      <c r="C40" s="57">
        <f>1.5103+0.906+1.4725</f>
        <v>3.8887999999999998</v>
      </c>
      <c r="D40" s="57">
        <f>-C40*$B$143/12*(($B$113+$B$114)/SUM($B$110:$B$112))</f>
        <v>-18.362813107461125</v>
      </c>
      <c r="E40" s="56">
        <f t="shared" si="4"/>
        <v>8.3838717713287658E-3</v>
      </c>
      <c r="F40" s="55" t="s">
        <v>15</v>
      </c>
      <c r="G40" s="146">
        <f t="shared" si="5"/>
        <v>836.16537494434624</v>
      </c>
      <c r="H40" s="10" t="s">
        <v>35</v>
      </c>
    </row>
    <row r="41" spans="1:8" ht="21.75" customHeight="1">
      <c r="A41" s="152" t="str">
        <f>"Potvrdenie o prevzatí zodpovednosti za nakladanie s odpadom z vozidla ("&amp;ROUND(B125*1000,1)&amp;" tis. nových + "&amp;ROUND(B126*1000,1)&amp;" tis. dovezených os. automobilov ročne)"</f>
        <v>Potvrdenie o prevzatí zodpovednosti za nakladanie s odpadom z vozidla (915,4 tis. nových + 61,8 tis. dovezených os. automobilov ročne)</v>
      </c>
      <c r="B41" s="55" t="s">
        <v>21</v>
      </c>
      <c r="C41" s="46">
        <v>30</v>
      </c>
      <c r="D41" s="57">
        <f>-C41/12*(($B$125+$B$126)/SUM($B$110:$B$112))</f>
        <v>-0.60703485637575094</v>
      </c>
      <c r="E41" s="56">
        <f t="shared" si="4"/>
        <v>2.7715265448698595E-4</v>
      </c>
      <c r="F41" s="55" t="s">
        <v>12</v>
      </c>
      <c r="G41" s="146">
        <f t="shared" si="5"/>
        <v>835.55834008797046</v>
      </c>
      <c r="H41" s="10" t="s">
        <v>36</v>
      </c>
    </row>
    <row r="42" spans="1:8" ht="14.65" customHeight="1">
      <c r="A42" s="145" t="str">
        <f>"Kontrola originality ("&amp;ROUND($B$126*1000,1)&amp;" tis. dovezených os. automobilov ročne)"</f>
        <v>Kontrola originality (61,8 tis. dovezených os. automobilov ročne)</v>
      </c>
      <c r="B42" s="55" t="s">
        <v>21</v>
      </c>
      <c r="C42" s="57">
        <f>$B$132/1.2</f>
        <v>72.5</v>
      </c>
      <c r="D42" s="57">
        <f>-C42/12*$B$126/SUM($B$110:$B$112)</f>
        <v>-9.2815741823617556E-2</v>
      </c>
      <c r="E42" s="56">
        <f t="shared" si="4"/>
        <v>4.2376692136227653E-5</v>
      </c>
      <c r="F42" s="55" t="s">
        <v>10</v>
      </c>
      <c r="G42" s="146">
        <f t="shared" si="5"/>
        <v>835.46552434614682</v>
      </c>
      <c r="H42" s="7"/>
    </row>
    <row r="43" spans="1:8" ht="14.65" customHeight="1">
      <c r="A43" s="145" t="s">
        <v>39</v>
      </c>
      <c r="B43" s="55" t="s">
        <v>21</v>
      </c>
      <c r="C43" s="57">
        <f>$B$145</f>
        <v>60</v>
      </c>
      <c r="D43" s="57">
        <f>-$B$144/12/SUM($B$110:$B$112)</f>
        <v>-2.2391739028925777</v>
      </c>
      <c r="E43" s="56">
        <f t="shared" si="4"/>
        <v>1.0223350183708711E-3</v>
      </c>
      <c r="F43" s="55" t="s">
        <v>12</v>
      </c>
      <c r="G43" s="146">
        <f t="shared" si="5"/>
        <v>833.2263504432542</v>
      </c>
      <c r="H43" s="7"/>
    </row>
    <row r="44" spans="1:8" ht="14.65" customHeight="1">
      <c r="A44" s="145" t="s">
        <v>40</v>
      </c>
      <c r="B44" s="55" t="s">
        <v>21</v>
      </c>
      <c r="C44" s="57">
        <f>-D44</f>
        <v>0.20705101463693318</v>
      </c>
      <c r="D44" s="57">
        <f>-20/12/SUM($B$110:$B$112)*50%</f>
        <v>-0.20705101463693318</v>
      </c>
      <c r="E44" s="56">
        <f t="shared" si="4"/>
        <v>9.4532855433476125E-5</v>
      </c>
      <c r="F44" s="55" t="s">
        <v>15</v>
      </c>
      <c r="G44" s="146">
        <f t="shared" si="5"/>
        <v>833.01929942861727</v>
      </c>
      <c r="H44" s="10" t="s">
        <v>41</v>
      </c>
    </row>
    <row r="45" spans="1:8" ht="14.65" customHeight="1">
      <c r="A45" s="145" t="s">
        <v>40</v>
      </c>
      <c r="B45" s="55" t="s">
        <v>21</v>
      </c>
      <c r="C45" s="57">
        <f>-D45</f>
        <v>0.20705101463693318</v>
      </c>
      <c r="D45" s="57">
        <f>-20/12/SUM($B$110:$B$112)*50%</f>
        <v>-0.20705101463693318</v>
      </c>
      <c r="E45" s="56">
        <f t="shared" si="4"/>
        <v>9.4532855433476125E-5</v>
      </c>
      <c r="F45" s="55" t="s">
        <v>10</v>
      </c>
      <c r="G45" s="146">
        <f t="shared" si="5"/>
        <v>832.81224841398034</v>
      </c>
      <c r="H45" s="10" t="s">
        <v>42</v>
      </c>
    </row>
    <row r="46" spans="1:8" ht="14.65" customHeight="1">
      <c r="A46" s="145" t="s">
        <v>43</v>
      </c>
      <c r="B46" s="55" t="s">
        <v>21</v>
      </c>
      <c r="C46" s="57">
        <f>-D46</f>
        <v>0.77460469613234517</v>
      </c>
      <c r="D46" s="57">
        <f>-(($B$164+$B$165+$B$166)*2)/12/SUM($B$110:$B$112)</f>
        <v>-0.77460469613234517</v>
      </c>
      <c r="E46" s="56">
        <f t="shared" si="4"/>
        <v>3.5365967119732681E-4</v>
      </c>
      <c r="F46" s="55" t="s">
        <v>15</v>
      </c>
      <c r="G46" s="146">
        <f t="shared" si="5"/>
        <v>832.03764371784803</v>
      </c>
      <c r="H46" s="7"/>
    </row>
    <row r="47" spans="1:8" ht="14.65" customHeight="1">
      <c r="A47" s="145" t="s">
        <v>44</v>
      </c>
      <c r="B47" s="55" t="s">
        <v>21</v>
      </c>
      <c r="C47" s="57">
        <f>-D47</f>
        <v>1.8942232891146911</v>
      </c>
      <c r="D47" s="57">
        <f>-SUM(B167:B173)/12/SUM($B$110:$B$112)</f>
        <v>-1.8942232891146911</v>
      </c>
      <c r="E47" s="56">
        <f t="shared" si="4"/>
        <v>8.6484162689372973E-4</v>
      </c>
      <c r="F47" s="55" t="s">
        <v>15</v>
      </c>
      <c r="G47" s="146">
        <f t="shared" si="5"/>
        <v>830.14342042873329</v>
      </c>
      <c r="H47" s="10" t="s">
        <v>45</v>
      </c>
    </row>
    <row r="48" spans="1:8" ht="14.65" customHeight="1">
      <c r="A48" s="147" t="s">
        <v>46</v>
      </c>
      <c r="B48" s="58" t="s">
        <v>21</v>
      </c>
      <c r="C48" s="60">
        <f>-D48</f>
        <v>2.2154044464122578</v>
      </c>
      <c r="D48" s="60">
        <f>-$B$146/12/SUM($B$110:$B$112)</f>
        <v>-2.2154044464122578</v>
      </c>
      <c r="E48" s="59">
        <f t="shared" si="4"/>
        <v>1.011482646567108E-3</v>
      </c>
      <c r="F48" s="58" t="s">
        <v>12</v>
      </c>
      <c r="G48" s="148">
        <f>G47+D48</f>
        <v>827.92801598232109</v>
      </c>
      <c r="H48" s="4"/>
    </row>
    <row r="49" spans="1:8" ht="14.65" customHeight="1">
      <c r="A49" s="153" t="s">
        <v>47</v>
      </c>
      <c r="B49" s="62" t="s">
        <v>48</v>
      </c>
      <c r="C49" s="53">
        <f>-D49/G48</f>
        <v>6.5013462290680894E-4</v>
      </c>
      <c r="D49" s="54">
        <f>-(G48-G48/(($B$149/($B$147-$B$148))+1))</f>
        <v>-0.53826466846464882</v>
      </c>
      <c r="E49" s="53">
        <f t="shared" si="4"/>
        <v>2.4575439139065252E-4</v>
      </c>
      <c r="F49" s="52" t="s">
        <v>12</v>
      </c>
      <c r="G49" s="144">
        <f t="shared" si="5"/>
        <v>827.38975131385644</v>
      </c>
      <c r="H49" s="12" t="s">
        <v>49</v>
      </c>
    </row>
    <row r="50" spans="1:8" ht="14.65" customHeight="1">
      <c r="A50" s="151" t="s">
        <v>50</v>
      </c>
      <c r="B50" s="64" t="s">
        <v>48</v>
      </c>
      <c r="C50" s="56">
        <f>-D50/G48</f>
        <v>3.7703800532207005E-4</v>
      </c>
      <c r="D50" s="57">
        <f>-(G48-G48/((($B$150-$B$151)*$B$152/($B$147-$B$148))+1))</f>
        <v>-0.31216032769623325</v>
      </c>
      <c r="E50" s="56">
        <f t="shared" si="4"/>
        <v>1.425223980762408E-4</v>
      </c>
      <c r="F50" s="55" t="s">
        <v>12</v>
      </c>
      <c r="G50" s="146">
        <f t="shared" si="5"/>
        <v>827.0775909861602</v>
      </c>
      <c r="H50" s="7"/>
    </row>
    <row r="51" spans="1:8" ht="14.65" customHeight="1">
      <c r="A51" s="151" t="s">
        <v>51</v>
      </c>
      <c r="B51" s="64" t="s">
        <v>48</v>
      </c>
      <c r="C51" s="56">
        <f>-D51/G48</f>
        <v>2.3455959894983704E-4</v>
      </c>
      <c r="D51" s="57">
        <f>-(G48-G48/(($B$151*$B$152/($B$147-$B$148))+1))</f>
        <v>-0.1941984633881475</v>
      </c>
      <c r="E51" s="56">
        <f t="shared" si="4"/>
        <v>8.8664792573299868E-5</v>
      </c>
      <c r="F51" s="55" t="s">
        <v>10</v>
      </c>
      <c r="G51" s="146">
        <f t="shared" si="5"/>
        <v>826.88339252277206</v>
      </c>
      <c r="H51" s="7"/>
    </row>
    <row r="52" spans="1:8" ht="14.65" customHeight="1">
      <c r="A52" s="151" t="s">
        <v>52</v>
      </c>
      <c r="B52" s="64" t="s">
        <v>48</v>
      </c>
      <c r="C52" s="56">
        <f>-D52/G48</f>
        <v>5.0817510439834439E-4</v>
      </c>
      <c r="D52" s="57">
        <f>-(G48-G48/(($B$174*4/($B$147-$B$148))+1))*75%</f>
        <v>-0.42073240595613015</v>
      </c>
      <c r="E52" s="56">
        <f t="shared" si="4"/>
        <v>1.9209292829678719E-4</v>
      </c>
      <c r="F52" s="55" t="s">
        <v>53</v>
      </c>
      <c r="G52" s="146">
        <f t="shared" si="5"/>
        <v>826.46266011681587</v>
      </c>
      <c r="H52" s="7"/>
    </row>
    <row r="53" spans="1:8" ht="14.65" customHeight="1">
      <c r="A53" s="151" t="s">
        <v>54</v>
      </c>
      <c r="B53" s="64" t="s">
        <v>48</v>
      </c>
      <c r="C53" s="56">
        <f>-D53/G48</f>
        <v>1.6939170146611479E-4</v>
      </c>
      <c r="D53" s="57">
        <f>-(G48-G48/(($B$174*4/($B$147-$B$148))+1))*25%</f>
        <v>-0.14024413531871005</v>
      </c>
      <c r="E53" s="56">
        <f t="shared" si="4"/>
        <v>6.4030976098929069E-5</v>
      </c>
      <c r="F53" s="55" t="s">
        <v>12</v>
      </c>
      <c r="G53" s="146">
        <f t="shared" si="5"/>
        <v>826.32241598149722</v>
      </c>
      <c r="H53" s="7"/>
    </row>
    <row r="54" spans="1:8" ht="14.65" customHeight="1">
      <c r="A54" s="151" t="s">
        <v>265</v>
      </c>
      <c r="B54" s="64" t="s">
        <v>48</v>
      </c>
      <c r="C54" s="56">
        <f>-D54/G48</f>
        <v>5.8782898096294998E-3</v>
      </c>
      <c r="D54" s="57">
        <f>-(G48-G48/(((B182)/($B$147-$B$148))+1))</f>
        <v>-4.8668008194556478</v>
      </c>
      <c r="E54" s="56">
        <f t="shared" si="4"/>
        <v>2.2220252293661423E-3</v>
      </c>
      <c r="F54" s="55" t="s">
        <v>12</v>
      </c>
      <c r="G54" s="146">
        <f t="shared" si="5"/>
        <v>821.45561516204157</v>
      </c>
      <c r="H54" s="7"/>
    </row>
    <row r="55" spans="1:8" ht="14.65" customHeight="1">
      <c r="A55" s="145" t="s">
        <v>55</v>
      </c>
      <c r="B55" s="64" t="s">
        <v>48</v>
      </c>
      <c r="C55" s="56">
        <f>-D55/G48</f>
        <v>2.1068176570902153E-2</v>
      </c>
      <c r="D55" s="57">
        <f>-(G48-G48/((($B$153+$B$154)/($B$147-$B$148))+1))</f>
        <v>-17.44293362871224</v>
      </c>
      <c r="E55" s="56">
        <f t="shared" si="4"/>
        <v>7.963884291753872E-3</v>
      </c>
      <c r="F55" s="55" t="s">
        <v>12</v>
      </c>
      <c r="G55" s="154">
        <f t="shared" si="5"/>
        <v>804.01268153332933</v>
      </c>
      <c r="H55" s="7"/>
    </row>
    <row r="56" spans="1:8" ht="14.65" customHeight="1">
      <c r="A56" s="145" t="s">
        <v>56</v>
      </c>
      <c r="B56" s="64" t="s">
        <v>48</v>
      </c>
      <c r="C56" s="56">
        <f>-D56/G48</f>
        <v>2.2920572577053008E-3</v>
      </c>
      <c r="D56" s="57">
        <f>-(G48-G48/((($B$155)/($B$147-$B$148))+1))</f>
        <v>-1.8976584178898293</v>
      </c>
      <c r="E56" s="56">
        <f t="shared" si="4"/>
        <v>8.6640999656564343E-4</v>
      </c>
      <c r="F56" s="55" t="s">
        <v>12</v>
      </c>
      <c r="G56" s="154">
        <f t="shared" si="5"/>
        <v>802.1150231154395</v>
      </c>
      <c r="H56" s="4"/>
    </row>
    <row r="57" spans="1:8" ht="14.65" customHeight="1">
      <c r="A57" s="145" t="s">
        <v>272</v>
      </c>
      <c r="B57" s="64" t="s">
        <v>48</v>
      </c>
      <c r="C57" s="56">
        <f>-D57/G48</f>
        <v>1.5363851732697359E-3</v>
      </c>
      <c r="D57" s="57">
        <f>-(G48-G48/((($B$156)/($B$147-$B$148))+1))*(1-B104)</f>
        <v>-1.2720163282898671</v>
      </c>
      <c r="E57" s="56">
        <f t="shared" si="4"/>
        <v>5.8076187591788668E-4</v>
      </c>
      <c r="F57" s="55" t="s">
        <v>12</v>
      </c>
      <c r="G57" s="154">
        <f t="shared" si="5"/>
        <v>800.84300678714965</v>
      </c>
      <c r="H57" s="10" t="s">
        <v>57</v>
      </c>
    </row>
    <row r="58" spans="1:8" ht="14.65" customHeight="1">
      <c r="A58" s="147" t="s">
        <v>273</v>
      </c>
      <c r="B58" s="47" t="s">
        <v>48</v>
      </c>
      <c r="C58" s="59">
        <f>-D58/G48</f>
        <v>1.5519042154239756E-5</v>
      </c>
      <c r="D58" s="60">
        <f>-(G48-G48/((($B$156)/($B$147-$B$148))+1))*B104</f>
        <v>-1.2848649780705728E-2</v>
      </c>
      <c r="E58" s="59">
        <f t="shared" si="4"/>
        <v>5.8662815749281477E-6</v>
      </c>
      <c r="F58" s="58" t="s">
        <v>10</v>
      </c>
      <c r="G58" s="148">
        <f t="shared" si="5"/>
        <v>800.83015813736893</v>
      </c>
      <c r="H58" s="4"/>
    </row>
    <row r="59" spans="1:8" ht="14.65" customHeight="1">
      <c r="A59" s="143" t="s">
        <v>155</v>
      </c>
      <c r="B59" s="66"/>
      <c r="C59" s="63"/>
      <c r="D59" s="67">
        <f>-G58</f>
        <v>-800.83015813736893</v>
      </c>
      <c r="E59" s="68">
        <f t="shared" si="4"/>
        <v>0.36563337638657351</v>
      </c>
      <c r="F59" s="69"/>
      <c r="G59" s="144">
        <f t="shared" si="5"/>
        <v>0</v>
      </c>
      <c r="H59" s="7"/>
    </row>
    <row r="60" spans="1:8" ht="14.65" customHeight="1">
      <c r="A60" s="147" t="s">
        <v>58</v>
      </c>
      <c r="B60" s="70"/>
      <c r="C60" s="71"/>
      <c r="D60" s="61">
        <f>SUM(D4:D58)</f>
        <v>-1389.4243696404089</v>
      </c>
      <c r="E60" s="72">
        <f t="shared" si="4"/>
        <v>0.63436662361342666</v>
      </c>
      <c r="F60" s="73"/>
      <c r="G60" s="155"/>
      <c r="H60" s="11"/>
    </row>
    <row r="61" spans="1:8" ht="14.25" customHeight="1">
      <c r="A61" s="143" t="s">
        <v>59</v>
      </c>
      <c r="B61" s="66"/>
      <c r="C61" s="74"/>
      <c r="D61" s="54">
        <f>SUM(D59:D60)</f>
        <v>-2190.2545277777781</v>
      </c>
      <c r="E61" s="53">
        <f>SUM(E59:E60)</f>
        <v>1.0000000000000002</v>
      </c>
      <c r="F61" s="73"/>
      <c r="G61" s="155"/>
      <c r="H61" s="11"/>
    </row>
    <row r="62" spans="1:8" ht="14.25" customHeight="1">
      <c r="A62" s="156" t="s">
        <v>60</v>
      </c>
      <c r="B62" s="133"/>
      <c r="C62" s="133"/>
      <c r="D62" s="133"/>
      <c r="E62" s="133"/>
      <c r="F62" s="73"/>
      <c r="G62" s="155"/>
      <c r="H62" s="11"/>
    </row>
    <row r="63" spans="1:8" ht="15" customHeight="1">
      <c r="A63" s="157"/>
      <c r="B63" s="19"/>
      <c r="C63" s="17"/>
      <c r="D63" s="6"/>
      <c r="E63" s="5"/>
      <c r="F63" s="16"/>
      <c r="G63" s="158"/>
      <c r="H63" s="75"/>
    </row>
    <row r="64" spans="1:8" ht="15" customHeight="1">
      <c r="A64" s="159"/>
      <c r="B64" s="19"/>
      <c r="C64" s="17"/>
      <c r="D64" s="6"/>
      <c r="E64" s="5"/>
      <c r="F64" s="16"/>
      <c r="G64" s="158"/>
      <c r="H64" s="75"/>
    </row>
    <row r="65" spans="1:8" ht="15" customHeight="1">
      <c r="A65" s="159"/>
      <c r="B65" s="19"/>
      <c r="C65" s="17"/>
      <c r="D65" s="6"/>
      <c r="E65" s="5"/>
      <c r="F65" s="16"/>
      <c r="G65" s="158"/>
      <c r="H65" s="75"/>
    </row>
    <row r="66" spans="1:8" ht="15" customHeight="1">
      <c r="A66" s="159"/>
      <c r="B66" s="19"/>
      <c r="C66" s="17"/>
      <c r="D66" s="6"/>
      <c r="E66" s="5"/>
      <c r="F66" s="16"/>
      <c r="G66" s="158"/>
      <c r="H66" s="75"/>
    </row>
    <row r="67" spans="1:8" ht="15" customHeight="1">
      <c r="A67" s="160" t="str">
        <f>"Priemerná mzda patriaca zamestnancovi "&amp;ROUND(G3,2)&amp;" EUR (" &amp;$B$92&amp;" brutto)"</f>
        <v>Priemerná mzda patriaca zamestnancovi 2190,25 EUR (1524 brutto)</v>
      </c>
      <c r="B67" s="19"/>
      <c r="C67" s="17"/>
      <c r="D67" s="6"/>
      <c r="E67" s="5"/>
      <c r="F67" s="16"/>
      <c r="G67" s="158"/>
      <c r="H67" s="75"/>
    </row>
    <row r="68" spans="1:8" ht="15" customHeight="1">
      <c r="A68" s="161"/>
      <c r="B68" s="17"/>
      <c r="C68" s="17"/>
      <c r="D68" s="20"/>
      <c r="E68" s="5"/>
      <c r="F68" s="16"/>
      <c r="G68" s="158"/>
      <c r="H68" s="75"/>
    </row>
    <row r="69" spans="1:8" ht="15.75" customHeight="1">
      <c r="A69" s="162" t="s">
        <v>61</v>
      </c>
      <c r="B69" s="21"/>
      <c r="C69" s="22" t="s">
        <v>62</v>
      </c>
      <c r="D69" s="23" t="s">
        <v>63</v>
      </c>
      <c r="E69" s="76" t="s">
        <v>64</v>
      </c>
      <c r="F69" s="16"/>
      <c r="G69" s="158"/>
      <c r="H69" s="75"/>
    </row>
    <row r="70" spans="1:8" ht="15.75" customHeight="1">
      <c r="A70" s="163" t="s">
        <v>65</v>
      </c>
      <c r="B70" s="13"/>
      <c r="C70" s="80">
        <f>SUMIF(F4:F58,"štát",D4:D58)*-1</f>
        <v>1072.6588681841752</v>
      </c>
      <c r="D70" s="24">
        <f>SUMIF(F4:F58,"štát",E4:E58)</f>
        <v>0.48974165083566312</v>
      </c>
      <c r="E70" s="77">
        <f>D70/D$75</f>
        <v>0.77201673701878826</v>
      </c>
      <c r="F70" s="16"/>
      <c r="G70" s="158"/>
      <c r="H70" s="11"/>
    </row>
    <row r="71" spans="1:8" ht="15" customHeight="1">
      <c r="A71" s="164" t="s">
        <v>203</v>
      </c>
      <c r="B71" s="19"/>
      <c r="C71" s="81">
        <f>SUMIF(F4:F58,"obec",D4:D58)*-1</f>
        <v>135.44213079151049</v>
      </c>
      <c r="D71" s="25">
        <f>SUMIF(F4:F58,"obec",E4:E58)</f>
        <v>6.1838534779302318E-2</v>
      </c>
      <c r="E71" s="78">
        <f>D71/D$75</f>
        <v>9.7480750842569269E-2</v>
      </c>
      <c r="F71" s="16"/>
      <c r="G71" s="158"/>
      <c r="H71" s="11"/>
    </row>
    <row r="72" spans="1:8" ht="15" customHeight="1">
      <c r="A72" s="164" t="s">
        <v>14</v>
      </c>
      <c r="B72" s="19"/>
      <c r="C72" s="81">
        <f>SUMIF(F4:F58,"VÚC",D4:D58)*-1</f>
        <v>44.792636398321257</v>
      </c>
      <c r="D72" s="25">
        <f>SUMIF(F4:F58,"VÚC",E4:E58)</f>
        <v>2.0450881772068594E-2</v>
      </c>
      <c r="E72" s="78">
        <f>D72/D$75</f>
        <v>3.223826886663423E-2</v>
      </c>
      <c r="F72" s="16"/>
      <c r="G72" s="158"/>
      <c r="H72" s="11"/>
    </row>
    <row r="73" spans="1:8" ht="15" customHeight="1">
      <c r="A73" s="164" t="s">
        <v>66</v>
      </c>
      <c r="B73" s="19"/>
      <c r="C73" s="81">
        <f>SUMIF(F4:F58,"súkr. spol.",D4:D58)*-1</f>
        <v>136.11000186044549</v>
      </c>
      <c r="D73" s="25">
        <f>SUMIF(F4:F58,"súkr. spol.",E4:E58)</f>
        <v>6.2143463298095371E-2</v>
      </c>
      <c r="E73" s="78">
        <f>D73/D$75</f>
        <v>9.7961432687172223E-2</v>
      </c>
      <c r="F73" s="16"/>
      <c r="G73" s="158"/>
      <c r="H73" s="11"/>
    </row>
    <row r="74" spans="1:8" ht="15" customHeight="1">
      <c r="A74" s="165" t="s">
        <v>53</v>
      </c>
      <c r="B74" s="15"/>
      <c r="C74" s="82">
        <f>SUMIF(F4:F58,"EÚ",D4:D58)*-1</f>
        <v>0.42073240595613015</v>
      </c>
      <c r="D74" s="26">
        <f>SUMIF(F4:F58,"EÚ",E4:E58)</f>
        <v>1.9209292829678719E-4</v>
      </c>
      <c r="E74" s="79">
        <f>D74/D$75</f>
        <v>3.0281058483594783E-4</v>
      </c>
      <c r="F74" s="16"/>
      <c r="G74" s="158"/>
      <c r="H74" s="11"/>
    </row>
    <row r="75" spans="1:8" ht="15" customHeight="1">
      <c r="A75" s="163" t="s">
        <v>67</v>
      </c>
      <c r="B75" s="14"/>
      <c r="C75" s="27">
        <f>SUM(C70:C74)</f>
        <v>1389.4243696404085</v>
      </c>
      <c r="D75" s="28">
        <f>SUM(D70:D74)</f>
        <v>0.63436662361342622</v>
      </c>
      <c r="E75" s="53">
        <f>SUM(E70:E74)</f>
        <v>1</v>
      </c>
      <c r="F75" s="122"/>
      <c r="G75" s="158"/>
      <c r="H75" s="11"/>
    </row>
    <row r="76" spans="1:8" ht="15" customHeight="1">
      <c r="A76" s="157"/>
      <c r="B76" s="19"/>
      <c r="C76" s="17"/>
      <c r="D76" s="20"/>
      <c r="E76" s="17"/>
      <c r="F76" s="16"/>
      <c r="G76" s="158"/>
      <c r="H76" s="11"/>
    </row>
    <row r="77" spans="1:8" ht="15" customHeight="1">
      <c r="A77" s="157"/>
      <c r="B77" s="19"/>
      <c r="C77" s="17"/>
      <c r="D77" s="20"/>
      <c r="E77" s="17"/>
      <c r="F77" s="16"/>
      <c r="G77" s="158"/>
      <c r="H77" s="11"/>
    </row>
    <row r="78" spans="1:8" ht="15" customHeight="1">
      <c r="A78" s="157"/>
      <c r="B78" s="29"/>
      <c r="C78" s="29"/>
      <c r="D78" s="30"/>
      <c r="E78" s="29"/>
      <c r="F78" s="30"/>
      <c r="G78" s="166"/>
      <c r="H78" s="11"/>
    </row>
    <row r="79" spans="1:8" ht="15.75" customHeight="1">
      <c r="A79" s="162" t="s">
        <v>68</v>
      </c>
      <c r="B79" s="21"/>
      <c r="C79" s="22" t="s">
        <v>62</v>
      </c>
      <c r="D79" s="23" t="s">
        <v>63</v>
      </c>
      <c r="E79" s="76" t="s">
        <v>64</v>
      </c>
      <c r="F79" s="30"/>
      <c r="G79" s="166"/>
      <c r="H79" s="11"/>
    </row>
    <row r="80" spans="1:8" ht="15.75" customHeight="1">
      <c r="A80" s="163" t="s">
        <v>69</v>
      </c>
      <c r="B80" s="13"/>
      <c r="C80" s="80">
        <f>SUMIF(B4:B58,"príjmová",D4:D58)*-1</f>
        <v>1012.4765379944042</v>
      </c>
      <c r="D80" s="24">
        <f>SUMIF(B4:B58,"príjmová",E4:E58)</f>
        <v>0.46226432825670655</v>
      </c>
      <c r="E80" s="77">
        <f>D80/D$84</f>
        <v>0.72870215905054225</v>
      </c>
      <c r="F80" s="30"/>
      <c r="G80" s="166"/>
      <c r="H80" s="11"/>
    </row>
    <row r="81" spans="1:8" ht="15" customHeight="1">
      <c r="A81" s="164" t="s">
        <v>70</v>
      </c>
      <c r="B81" s="19"/>
      <c r="C81" s="81">
        <f>SUMIF(B4:B58,"majetková",D4:D58)*-1</f>
        <v>31.066753992726191</v>
      </c>
      <c r="D81" s="25">
        <f>SUMIF(B4:B58,"majetková",E4:E58)</f>
        <v>1.4184083903822073E-2</v>
      </c>
      <c r="E81" s="78">
        <f>D81/D$84</f>
        <v>2.2359442278075528E-2</v>
      </c>
      <c r="F81" s="30"/>
      <c r="G81" s="166"/>
      <c r="H81" s="11"/>
    </row>
    <row r="82" spans="1:8" ht="15" customHeight="1">
      <c r="A82" s="164" t="s">
        <v>71</v>
      </c>
      <c r="B82" s="19"/>
      <c r="C82" s="81">
        <f>SUMIF(B4:B58,"spotrebná",D4:D58)*-1</f>
        <v>318.78321980832578</v>
      </c>
      <c r="D82" s="25">
        <f>SUMIF(B4:B58,"spotrebná",E4:E58)</f>
        <v>0.14554619829128343</v>
      </c>
      <c r="E82" s="78">
        <f>D82/D$84</f>
        <v>0.22943546030564355</v>
      </c>
      <c r="F82" s="30"/>
      <c r="G82" s="166"/>
      <c r="H82" s="11"/>
    </row>
    <row r="83" spans="1:8" ht="15" customHeight="1">
      <c r="A83" s="165" t="s">
        <v>72</v>
      </c>
      <c r="B83" s="15"/>
      <c r="C83" s="82">
        <f>SUMIF(B4:B58,"podnikat.",D4:D58)*-1</f>
        <v>27.097857844952159</v>
      </c>
      <c r="D83" s="26">
        <f>SUMIF(B4:B58,"podnikat.",E4:E58)</f>
        <v>1.2372013161614381E-2</v>
      </c>
      <c r="E83" s="79">
        <f>D83/D$84</f>
        <v>1.9502938365738645E-2</v>
      </c>
      <c r="F83" s="30"/>
      <c r="G83" s="166"/>
      <c r="H83" s="11"/>
    </row>
    <row r="84" spans="1:8" ht="15" customHeight="1">
      <c r="A84" s="163" t="s">
        <v>67</v>
      </c>
      <c r="B84" s="14"/>
      <c r="C84" s="27">
        <f>SUM(C80:C83)</f>
        <v>1389.4243696404085</v>
      </c>
      <c r="D84" s="28">
        <f>SUM(D80:D83)</f>
        <v>0.63436662361342644</v>
      </c>
      <c r="E84" s="77">
        <f>SUM(E80:E83)</f>
        <v>1</v>
      </c>
      <c r="F84" s="30"/>
      <c r="G84" s="166"/>
      <c r="H84" s="11"/>
    </row>
    <row r="85" spans="1:8" ht="15" customHeight="1">
      <c r="A85" s="157"/>
      <c r="B85" s="29"/>
      <c r="C85" s="29"/>
      <c r="D85" s="30"/>
      <c r="E85" s="29"/>
      <c r="F85" s="30"/>
      <c r="G85" s="166"/>
      <c r="H85" s="11"/>
    </row>
    <row r="86" spans="1:8" ht="15" customHeight="1">
      <c r="A86" s="157"/>
      <c r="B86" s="29"/>
      <c r="C86" s="29"/>
      <c r="D86" s="30"/>
      <c r="E86" s="29"/>
      <c r="F86" s="30"/>
      <c r="G86" s="166"/>
      <c r="H86" s="11"/>
    </row>
    <row r="87" spans="1:8" ht="15" customHeight="1">
      <c r="A87" s="164" t="s">
        <v>73</v>
      </c>
      <c r="B87" s="29"/>
      <c r="C87" s="29"/>
      <c r="D87" s="30"/>
      <c r="E87" s="29"/>
      <c r="F87" s="30"/>
      <c r="G87" s="166"/>
      <c r="H87" s="11"/>
    </row>
    <row r="88" spans="1:8" ht="15" customHeight="1">
      <c r="A88" s="167" t="s">
        <v>74</v>
      </c>
      <c r="B88" s="168" t="s">
        <v>75</v>
      </c>
      <c r="C88" s="169"/>
      <c r="D88" s="170"/>
      <c r="E88" s="169"/>
      <c r="F88" s="171"/>
      <c r="G88" s="172"/>
      <c r="H88" s="11"/>
    </row>
    <row r="89" spans="1:8" ht="15" hidden="1" customHeight="1">
      <c r="A89" s="18"/>
      <c r="B89" s="29"/>
      <c r="C89" s="29"/>
      <c r="D89" s="30"/>
      <c r="E89" s="29"/>
      <c r="F89" s="30"/>
      <c r="G89" s="29"/>
      <c r="H89" s="11"/>
    </row>
    <row r="90" spans="1:8" ht="15" hidden="1" customHeight="1">
      <c r="A90" s="18"/>
      <c r="B90" s="29"/>
      <c r="C90" s="29"/>
      <c r="D90" s="30"/>
      <c r="E90" s="29"/>
      <c r="F90" s="30"/>
      <c r="G90" s="29"/>
      <c r="H90" s="11"/>
    </row>
    <row r="91" spans="1:8" ht="15" hidden="1" customHeight="1">
      <c r="A91" s="43" t="s">
        <v>186</v>
      </c>
      <c r="B91" s="29"/>
      <c r="C91" s="42" t="s">
        <v>188</v>
      </c>
      <c r="D91" s="30"/>
      <c r="E91" s="29"/>
      <c r="F91" s="30"/>
      <c r="G91" s="29"/>
      <c r="H91" s="11"/>
    </row>
    <row r="92" spans="1:8" ht="15" hidden="1" customHeight="1">
      <c r="A92" s="31" t="s">
        <v>76</v>
      </c>
      <c r="B92" s="120">
        <v>1524</v>
      </c>
      <c r="C92" s="38" t="s">
        <v>77</v>
      </c>
      <c r="D92" s="30"/>
      <c r="E92" s="29"/>
      <c r="F92" s="30"/>
      <c r="G92" s="29"/>
      <c r="H92" s="11"/>
    </row>
    <row r="93" spans="1:8" ht="15" hidden="1" customHeight="1">
      <c r="A93" s="31" t="s">
        <v>78</v>
      </c>
      <c r="B93" s="119">
        <v>0.36199999999999999</v>
      </c>
      <c r="C93" s="115" t="s">
        <v>251</v>
      </c>
      <c r="D93" s="30"/>
      <c r="E93" s="29"/>
      <c r="F93" s="30"/>
      <c r="G93" s="29"/>
      <c r="H93" s="11"/>
    </row>
    <row r="94" spans="1:8" ht="15" hidden="1" customHeight="1">
      <c r="A94" s="31" t="s">
        <v>174</v>
      </c>
      <c r="B94" s="119">
        <v>0.19</v>
      </c>
      <c r="C94" s="115" t="s">
        <v>253</v>
      </c>
      <c r="D94" s="30"/>
      <c r="E94" s="29"/>
      <c r="F94" s="30"/>
      <c r="G94" s="29"/>
      <c r="H94" s="11"/>
    </row>
    <row r="95" spans="1:8" ht="15" hidden="1" customHeight="1">
      <c r="A95" s="31" t="s">
        <v>175</v>
      </c>
      <c r="B95" s="120">
        <v>251</v>
      </c>
      <c r="C95" s="38" t="s">
        <v>249</v>
      </c>
      <c r="D95" s="30"/>
      <c r="E95" s="29"/>
      <c r="F95" s="30"/>
      <c r="G95" s="29"/>
      <c r="H95" s="11"/>
    </row>
    <row r="96" spans="1:8" ht="15" hidden="1" customHeight="1">
      <c r="A96" s="31" t="s">
        <v>79</v>
      </c>
      <c r="B96" s="117">
        <f>(7.8*8+8.3*4)/12</f>
        <v>7.9666666666666659</v>
      </c>
      <c r="C96" s="88"/>
      <c r="D96" s="30"/>
      <c r="E96" s="29"/>
      <c r="F96" s="30"/>
      <c r="G96" s="29"/>
      <c r="H96" s="11"/>
    </row>
    <row r="97" spans="1:8" ht="15" hidden="1" customHeight="1">
      <c r="A97" s="31" t="s">
        <v>156</v>
      </c>
      <c r="B97" s="125">
        <v>0.55000000000000004</v>
      </c>
      <c r="C97" s="89" t="s">
        <v>211</v>
      </c>
      <c r="D97" s="30"/>
      <c r="E97" s="29"/>
      <c r="F97" s="30"/>
      <c r="G97" s="29"/>
      <c r="H97" s="11"/>
    </row>
    <row r="98" spans="1:8" ht="15" hidden="1" customHeight="1">
      <c r="A98" s="31" t="s">
        <v>80</v>
      </c>
      <c r="B98" s="119">
        <v>0.25200000000000006</v>
      </c>
      <c r="C98" s="115" t="s">
        <v>251</v>
      </c>
      <c r="D98" s="30"/>
      <c r="E98" s="29"/>
      <c r="F98" s="30"/>
      <c r="G98" s="29"/>
      <c r="H98" s="11"/>
    </row>
    <row r="99" spans="1:8" ht="15" hidden="1" customHeight="1">
      <c r="A99" s="31" t="s">
        <v>81</v>
      </c>
      <c r="B99" s="119">
        <v>9.4E-2</v>
      </c>
      <c r="C99" s="115" t="s">
        <v>251</v>
      </c>
      <c r="D99" s="30"/>
      <c r="E99" s="29"/>
      <c r="F99" s="30"/>
      <c r="G99" s="29"/>
      <c r="H99" s="11"/>
    </row>
    <row r="100" spans="1:8" ht="15" hidden="1" customHeight="1">
      <c r="A100" s="31" t="s">
        <v>82</v>
      </c>
      <c r="B100" s="126">
        <v>0.04</v>
      </c>
      <c r="C100" s="114" t="s">
        <v>252</v>
      </c>
      <c r="D100" s="30"/>
      <c r="E100" s="29"/>
      <c r="F100" s="30"/>
      <c r="G100" s="29"/>
      <c r="H100" s="11"/>
    </row>
    <row r="101" spans="1:8" ht="15" hidden="1" customHeight="1">
      <c r="A101" s="31" t="s">
        <v>83</v>
      </c>
      <c r="B101" s="126">
        <v>4.0000000000000001E-3</v>
      </c>
      <c r="C101" s="115" t="s">
        <v>266</v>
      </c>
      <c r="D101" s="30"/>
      <c r="E101" s="29"/>
      <c r="F101" s="30"/>
      <c r="G101" s="29"/>
      <c r="H101" s="11"/>
    </row>
    <row r="102" spans="1:8" ht="15" hidden="1" customHeight="1">
      <c r="A102" s="31" t="s">
        <v>84</v>
      </c>
      <c r="B102" s="119">
        <v>0.11</v>
      </c>
      <c r="C102" s="87" t="s">
        <v>176</v>
      </c>
      <c r="D102" s="30"/>
      <c r="E102" s="29"/>
      <c r="F102" s="30"/>
      <c r="G102" s="29"/>
      <c r="H102" s="11"/>
    </row>
    <row r="103" spans="1:8" ht="15" hidden="1" customHeight="1">
      <c r="A103" s="31" t="s">
        <v>85</v>
      </c>
      <c r="B103" s="119">
        <v>0.04</v>
      </c>
      <c r="C103" s="87" t="s">
        <v>176</v>
      </c>
      <c r="D103" s="30"/>
      <c r="E103" s="29"/>
      <c r="F103" s="30"/>
      <c r="G103" s="29"/>
      <c r="H103" s="11"/>
    </row>
    <row r="104" spans="1:8" ht="15" hidden="1" customHeight="1">
      <c r="A104" s="31" t="s">
        <v>86</v>
      </c>
      <c r="B104" s="128">
        <v>0.01</v>
      </c>
      <c r="C104" s="88" t="s">
        <v>184</v>
      </c>
      <c r="D104" s="30"/>
      <c r="E104" s="29"/>
      <c r="F104" s="30"/>
      <c r="G104" s="29"/>
      <c r="H104" s="11"/>
    </row>
    <row r="105" spans="1:8" ht="15" hidden="1" customHeight="1">
      <c r="A105" s="31" t="s">
        <v>87</v>
      </c>
      <c r="B105" s="120">
        <v>4696.0600000000004</v>
      </c>
      <c r="C105" s="88" t="s">
        <v>212</v>
      </c>
      <c r="D105" s="30"/>
      <c r="E105" s="29"/>
      <c r="F105" s="30"/>
      <c r="G105" s="29"/>
      <c r="H105" s="11"/>
    </row>
    <row r="106" spans="1:8" ht="15" hidden="1" customHeight="1">
      <c r="A106" s="31" t="s">
        <v>88</v>
      </c>
      <c r="B106" s="117">
        <v>2.621</v>
      </c>
      <c r="C106" s="38" t="s">
        <v>180</v>
      </c>
      <c r="D106" s="30"/>
      <c r="E106" s="29"/>
      <c r="F106" s="30"/>
      <c r="G106" s="29"/>
      <c r="H106" s="11"/>
    </row>
    <row r="107" spans="1:8" ht="15" hidden="1" customHeight="1">
      <c r="A107" s="31" t="s">
        <v>89</v>
      </c>
      <c r="B107" s="118">
        <v>0</v>
      </c>
      <c r="C107" s="115" t="s">
        <v>254</v>
      </c>
      <c r="D107" s="30"/>
      <c r="E107" s="29"/>
      <c r="F107" s="30"/>
      <c r="G107" s="29"/>
      <c r="H107" s="11"/>
    </row>
    <row r="108" spans="1:8" ht="15" hidden="1" customHeight="1">
      <c r="A108" s="31" t="s">
        <v>90</v>
      </c>
      <c r="B108" s="119">
        <v>0.3</v>
      </c>
      <c r="C108" s="115" t="s">
        <v>254</v>
      </c>
      <c r="D108" s="30"/>
      <c r="E108" s="29"/>
      <c r="F108" s="30"/>
      <c r="G108" s="29"/>
      <c r="H108" s="11"/>
    </row>
    <row r="109" spans="1:8" ht="15" hidden="1" customHeight="1">
      <c r="A109" s="31" t="s">
        <v>91</v>
      </c>
      <c r="B109" s="119">
        <v>0.7</v>
      </c>
      <c r="C109" s="115" t="s">
        <v>254</v>
      </c>
      <c r="D109" s="30"/>
      <c r="E109" s="29"/>
      <c r="F109" s="30"/>
      <c r="G109" s="29"/>
      <c r="H109" s="11"/>
    </row>
    <row r="110" spans="1:8" ht="15" hidden="1" customHeight="1">
      <c r="A110" s="31" t="s">
        <v>92</v>
      </c>
      <c r="B110" s="117">
        <v>2.705384</v>
      </c>
      <c r="C110" s="90" t="s">
        <v>213</v>
      </c>
      <c r="D110" s="30"/>
      <c r="E110" s="29"/>
      <c r="F110" s="30"/>
      <c r="G110" s="29"/>
      <c r="H110" s="11"/>
    </row>
    <row r="111" spans="1:8" ht="15" hidden="1" customHeight="1">
      <c r="A111" s="31" t="s">
        <v>93</v>
      </c>
      <c r="B111" s="117">
        <v>0.145644</v>
      </c>
      <c r="C111" s="90" t="s">
        <v>213</v>
      </c>
      <c r="D111" s="30"/>
      <c r="E111" s="29"/>
      <c r="F111" s="30"/>
      <c r="G111" s="29"/>
      <c r="H111" s="11"/>
    </row>
    <row r="112" spans="1:8" ht="15" hidden="1" customHeight="1">
      <c r="A112" s="31" t="s">
        <v>94</v>
      </c>
      <c r="B112" s="117">
        <v>1.173745</v>
      </c>
      <c r="C112" s="88"/>
      <c r="D112" s="30"/>
      <c r="E112" s="29"/>
      <c r="F112" s="30"/>
      <c r="G112" s="29"/>
      <c r="H112" s="11"/>
    </row>
    <row r="113" spans="1:8" ht="15" hidden="1" customHeight="1">
      <c r="A113" s="31" t="s">
        <v>95</v>
      </c>
      <c r="B113" s="117">
        <f>0.484517/0.52+0.005891+0.006336+0.007551+0.006246+0.005703+0.007825+0.006231</f>
        <v>0.97754646153846136</v>
      </c>
      <c r="C113" s="88" t="s">
        <v>260</v>
      </c>
      <c r="D113" s="30"/>
      <c r="E113" s="29"/>
      <c r="F113" s="30"/>
      <c r="G113" s="29"/>
      <c r="H113" s="11"/>
    </row>
    <row r="114" spans="1:8" ht="15" hidden="1" customHeight="1">
      <c r="A114" s="31" t="s">
        <v>96</v>
      </c>
      <c r="B114" s="117">
        <f>0.340415/0.337+0.011707+0.012368+0.012559+0.012993+0.013344+0.012114+0.010494</f>
        <v>1.09571253115727</v>
      </c>
      <c r="C114" s="88" t="s">
        <v>260</v>
      </c>
      <c r="D114" s="30"/>
      <c r="E114" s="29"/>
      <c r="F114" s="30"/>
      <c r="G114" s="29"/>
      <c r="H114" s="11"/>
    </row>
    <row r="115" spans="1:8" ht="15" hidden="1" customHeight="1">
      <c r="A115" s="31" t="s">
        <v>97</v>
      </c>
      <c r="B115" s="117">
        <v>69.7</v>
      </c>
      <c r="C115" s="90" t="s">
        <v>260</v>
      </c>
      <c r="D115" s="30"/>
      <c r="E115" s="29"/>
      <c r="F115" s="30"/>
      <c r="G115" s="29"/>
      <c r="H115" s="11"/>
    </row>
    <row r="116" spans="1:8" ht="15" hidden="1" customHeight="1">
      <c r="A116" s="31" t="s">
        <v>98</v>
      </c>
      <c r="B116" s="117">
        <v>118</v>
      </c>
      <c r="C116" s="90"/>
      <c r="D116" s="30"/>
      <c r="E116" s="29"/>
      <c r="F116" s="30"/>
      <c r="G116" s="29"/>
      <c r="H116" s="11"/>
    </row>
    <row r="117" spans="1:8" ht="15" hidden="1" customHeight="1">
      <c r="A117" s="31" t="s">
        <v>99</v>
      </c>
      <c r="B117" s="117">
        <v>1.0044999999999999</v>
      </c>
      <c r="C117" s="91" t="s">
        <v>177</v>
      </c>
      <c r="D117" s="30"/>
      <c r="E117" s="29"/>
      <c r="F117" s="30"/>
      <c r="G117" s="29"/>
      <c r="H117" s="11"/>
    </row>
    <row r="118" spans="1:8" ht="15" hidden="1" customHeight="1">
      <c r="A118" s="31" t="s">
        <v>100</v>
      </c>
      <c r="B118" s="117">
        <v>0.97324999999999995</v>
      </c>
      <c r="C118" s="91" t="s">
        <v>177</v>
      </c>
      <c r="D118" s="30"/>
      <c r="E118" s="29"/>
      <c r="F118" s="30"/>
      <c r="G118" s="29"/>
      <c r="H118" s="11"/>
    </row>
    <row r="119" spans="1:8" ht="15" hidden="1" customHeight="1">
      <c r="A119" s="31" t="s">
        <v>101</v>
      </c>
      <c r="B119" s="117">
        <v>5.4194509999999996</v>
      </c>
      <c r="C119" s="32" t="s">
        <v>157</v>
      </c>
      <c r="D119" s="30"/>
      <c r="E119" s="29"/>
      <c r="F119" s="30"/>
      <c r="G119" s="29"/>
      <c r="H119" s="11"/>
    </row>
    <row r="120" spans="1:8" ht="15" hidden="1" customHeight="1">
      <c r="A120" s="31" t="s">
        <v>102</v>
      </c>
      <c r="B120" s="117">
        <v>33.729999999999997</v>
      </c>
      <c r="C120" s="91" t="s">
        <v>177</v>
      </c>
      <c r="D120" s="30"/>
      <c r="E120" s="29"/>
      <c r="F120" s="30"/>
      <c r="G120" s="29"/>
      <c r="H120" s="11"/>
    </row>
    <row r="121" spans="1:8" ht="15" hidden="1" customHeight="1">
      <c r="A121" s="31" t="s">
        <v>103</v>
      </c>
      <c r="B121" s="117">
        <v>529.15</v>
      </c>
      <c r="C121" s="88" t="s">
        <v>212</v>
      </c>
      <c r="D121" s="30"/>
      <c r="E121" s="29"/>
      <c r="F121" s="30"/>
      <c r="G121" s="29"/>
      <c r="H121" s="11"/>
    </row>
    <row r="122" spans="1:8" ht="15" hidden="1" customHeight="1">
      <c r="A122" s="31" t="s">
        <v>104</v>
      </c>
      <c r="B122" s="117">
        <v>62376.085999999996</v>
      </c>
      <c r="C122" s="88" t="s">
        <v>179</v>
      </c>
      <c r="D122" s="92"/>
      <c r="E122" s="29"/>
      <c r="F122" s="30"/>
      <c r="G122" s="29"/>
      <c r="H122" s="11"/>
    </row>
    <row r="123" spans="1:8" ht="15" hidden="1" customHeight="1">
      <c r="A123" s="41" t="s">
        <v>191</v>
      </c>
      <c r="B123" s="117">
        <v>120.61637223220552</v>
      </c>
      <c r="C123" s="88" t="s">
        <v>214</v>
      </c>
      <c r="D123" s="93"/>
      <c r="E123" s="29"/>
      <c r="F123" s="30"/>
      <c r="G123" s="29"/>
      <c r="H123" s="11"/>
    </row>
    <row r="124" spans="1:8" ht="15" hidden="1" customHeight="1">
      <c r="A124" s="31" t="s">
        <v>227</v>
      </c>
      <c r="B124" s="117">
        <v>3.7601689999999999</v>
      </c>
      <c r="C124" s="88" t="s">
        <v>105</v>
      </c>
      <c r="D124" s="30"/>
      <c r="E124" s="29"/>
      <c r="F124" s="30"/>
      <c r="G124" s="29"/>
      <c r="H124" s="11"/>
    </row>
    <row r="125" spans="1:8" ht="15" hidden="1" customHeight="1">
      <c r="A125" s="31" t="s">
        <v>106</v>
      </c>
      <c r="B125" s="117">
        <v>0.91544000000000003</v>
      </c>
      <c r="C125" s="88" t="s">
        <v>166</v>
      </c>
      <c r="D125" s="30"/>
      <c r="E125" s="29"/>
      <c r="F125" s="30"/>
      <c r="G125" s="29"/>
      <c r="H125" s="11"/>
    </row>
    <row r="126" spans="1:8" ht="15" hidden="1" customHeight="1">
      <c r="A126" s="31" t="s">
        <v>107</v>
      </c>
      <c r="B126" s="129">
        <v>6.1830999999999997E-2</v>
      </c>
      <c r="C126" s="88" t="s">
        <v>167</v>
      </c>
      <c r="D126" s="30"/>
      <c r="E126" s="29"/>
      <c r="F126" s="30"/>
      <c r="G126" s="29"/>
      <c r="H126" s="11"/>
    </row>
    <row r="127" spans="1:8" ht="15" hidden="1" customHeight="1">
      <c r="A127" s="31" t="s">
        <v>108</v>
      </c>
      <c r="B127" s="129">
        <v>0.35435899999999998</v>
      </c>
      <c r="C127" s="89" t="s">
        <v>168</v>
      </c>
      <c r="D127" s="30"/>
      <c r="E127" s="29"/>
      <c r="F127" s="30"/>
      <c r="G127" s="29"/>
      <c r="H127" s="11"/>
    </row>
    <row r="128" spans="1:8" ht="15" hidden="1" customHeight="1">
      <c r="A128" s="31" t="s">
        <v>109</v>
      </c>
      <c r="B128" s="123">
        <v>0.72403421229205389</v>
      </c>
      <c r="C128" s="88" t="s">
        <v>105</v>
      </c>
      <c r="D128" s="34"/>
      <c r="E128" s="29"/>
      <c r="F128" s="30"/>
      <c r="G128" s="29"/>
      <c r="H128" s="11"/>
    </row>
    <row r="129" spans="1:8" ht="15" hidden="1" customHeight="1">
      <c r="A129" s="31" t="s">
        <v>110</v>
      </c>
      <c r="B129" s="117">
        <v>33</v>
      </c>
      <c r="C129" s="116" t="s">
        <v>262</v>
      </c>
      <c r="D129" s="30"/>
      <c r="E129" s="29"/>
      <c r="F129" s="30"/>
      <c r="G129" s="29"/>
      <c r="H129" s="11"/>
    </row>
    <row r="130" spans="1:8" ht="15" hidden="1" customHeight="1">
      <c r="A130" s="31" t="s">
        <v>111</v>
      </c>
      <c r="B130" s="117">
        <v>12</v>
      </c>
      <c r="C130" s="88" t="s">
        <v>215</v>
      </c>
      <c r="D130" s="30"/>
      <c r="E130" s="29"/>
      <c r="F130" s="30"/>
      <c r="G130" s="29"/>
      <c r="H130" s="11"/>
    </row>
    <row r="131" spans="1:8" ht="15" hidden="1" customHeight="1">
      <c r="A131" s="31" t="s">
        <v>193</v>
      </c>
      <c r="B131" s="117">
        <f>47+37</f>
        <v>84</v>
      </c>
      <c r="C131" s="88" t="s">
        <v>216</v>
      </c>
      <c r="D131" s="30"/>
      <c r="E131" s="29"/>
      <c r="F131" s="30"/>
      <c r="G131" s="29"/>
      <c r="H131" s="11"/>
    </row>
    <row r="132" spans="1:8" ht="15" hidden="1" customHeight="1">
      <c r="A132" s="31" t="s">
        <v>194</v>
      </c>
      <c r="B132" s="117">
        <v>87</v>
      </c>
      <c r="C132" s="88" t="s">
        <v>201</v>
      </c>
      <c r="D132" s="30"/>
      <c r="E132" s="29"/>
      <c r="F132" s="30"/>
      <c r="G132" s="29"/>
      <c r="H132" s="11"/>
    </row>
    <row r="133" spans="1:8" ht="15" hidden="1" customHeight="1">
      <c r="A133" s="31" t="s">
        <v>22</v>
      </c>
      <c r="B133" s="117">
        <v>258.315</v>
      </c>
      <c r="C133" s="88" t="s">
        <v>212</v>
      </c>
      <c r="D133" s="30"/>
      <c r="E133" s="29"/>
      <c r="F133" s="30"/>
      <c r="G133" s="29"/>
      <c r="H133" s="11"/>
    </row>
    <row r="134" spans="1:8" ht="15" hidden="1" customHeight="1">
      <c r="A134" s="31" t="s">
        <v>112</v>
      </c>
      <c r="B134" s="117">
        <v>347.25599999999997</v>
      </c>
      <c r="C134" s="88" t="s">
        <v>212</v>
      </c>
      <c r="D134" s="30"/>
      <c r="E134" s="29"/>
      <c r="F134" s="30"/>
      <c r="G134" s="29"/>
      <c r="H134" s="11"/>
    </row>
    <row r="135" spans="1:8" ht="15" hidden="1" customHeight="1">
      <c r="A135" s="41" t="s">
        <v>189</v>
      </c>
      <c r="B135" s="117">
        <v>13.988198000000001</v>
      </c>
      <c r="C135" s="88" t="s">
        <v>217</v>
      </c>
      <c r="D135" s="30"/>
      <c r="E135" s="29"/>
      <c r="F135" s="30"/>
      <c r="G135" s="29"/>
      <c r="H135" s="11"/>
    </row>
    <row r="136" spans="1:8" ht="15" hidden="1" customHeight="1">
      <c r="A136" s="41" t="s">
        <v>195</v>
      </c>
      <c r="B136" s="117">
        <v>0</v>
      </c>
      <c r="C136" s="89" t="s">
        <v>218</v>
      </c>
      <c r="D136" s="30"/>
      <c r="E136" s="29"/>
      <c r="F136" s="30"/>
      <c r="G136" s="29"/>
      <c r="H136" s="11"/>
    </row>
    <row r="137" spans="1:8" ht="15" hidden="1" customHeight="1">
      <c r="A137" s="31" t="s">
        <v>113</v>
      </c>
      <c r="B137" s="117">
        <f>26.519/$B$119/12</f>
        <v>0.4077750064843591</v>
      </c>
      <c r="C137" s="88" t="s">
        <v>187</v>
      </c>
      <c r="D137" s="30"/>
      <c r="E137" s="29"/>
      <c r="F137" s="30"/>
      <c r="G137" s="29"/>
      <c r="H137" s="11"/>
    </row>
    <row r="138" spans="1:8" ht="15" hidden="1" customHeight="1">
      <c r="A138" s="31" t="s">
        <v>114</v>
      </c>
      <c r="B138" s="117">
        <f>((6.36588+8.4+6.5)/3)/1.2</f>
        <v>5.9071888888888893</v>
      </c>
      <c r="C138" s="89" t="s">
        <v>219</v>
      </c>
      <c r="D138" s="30"/>
      <c r="E138" s="29"/>
      <c r="F138" s="30"/>
      <c r="G138" s="29"/>
      <c r="H138" s="11"/>
    </row>
    <row r="139" spans="1:8" ht="15" hidden="1" customHeight="1">
      <c r="A139" s="31" t="s">
        <v>115</v>
      </c>
      <c r="B139" s="117">
        <f>(((0.137535+0.134724+0.148522)/3))/1.2*B137*1000</f>
        <v>47.662215278748647</v>
      </c>
      <c r="C139" s="89" t="s">
        <v>172</v>
      </c>
      <c r="D139" s="30"/>
      <c r="E139" s="29"/>
      <c r="F139" s="30"/>
      <c r="G139" s="29"/>
      <c r="H139" s="11"/>
    </row>
    <row r="140" spans="1:8" ht="15" hidden="1" customHeight="1">
      <c r="A140" s="31" t="s">
        <v>116</v>
      </c>
      <c r="B140" s="117">
        <v>3.55</v>
      </c>
      <c r="C140" s="88" t="s">
        <v>220</v>
      </c>
      <c r="D140" s="30"/>
      <c r="E140" s="29"/>
      <c r="F140" s="30"/>
      <c r="G140" s="29"/>
      <c r="H140" s="11"/>
    </row>
    <row r="141" spans="1:8" ht="15" hidden="1" customHeight="1">
      <c r="A141" s="31" t="s">
        <v>117</v>
      </c>
      <c r="B141" s="117">
        <f>0.06413*1000*B163/12</f>
        <v>59.751817058999372</v>
      </c>
      <c r="C141" s="88" t="s">
        <v>220</v>
      </c>
      <c r="D141" s="30"/>
      <c r="E141" s="29"/>
      <c r="F141" s="30"/>
      <c r="G141" s="29"/>
      <c r="H141" s="11"/>
    </row>
    <row r="142" spans="1:8" ht="15" hidden="1" customHeight="1">
      <c r="A142" s="31" t="s">
        <v>118</v>
      </c>
      <c r="B142" s="124">
        <v>975</v>
      </c>
      <c r="C142" s="89" t="s">
        <v>170</v>
      </c>
      <c r="D142" s="30"/>
      <c r="E142" s="29"/>
      <c r="F142" s="93" t="s">
        <v>171</v>
      </c>
      <c r="G142" s="29"/>
      <c r="H142" s="11"/>
    </row>
    <row r="143" spans="1:8" ht="15" hidden="1" customHeight="1">
      <c r="A143" s="31" t="s">
        <v>119</v>
      </c>
      <c r="B143" s="124">
        <v>110</v>
      </c>
      <c r="C143" s="89" t="s">
        <v>165</v>
      </c>
      <c r="D143" s="30"/>
      <c r="E143" s="29"/>
      <c r="F143" s="30"/>
      <c r="G143" s="29"/>
      <c r="H143" s="11"/>
    </row>
    <row r="144" spans="1:8" ht="15" hidden="1" customHeight="1">
      <c r="A144" s="31" t="s">
        <v>120</v>
      </c>
      <c r="B144" s="117">
        <v>108.146</v>
      </c>
      <c r="C144" s="88" t="s">
        <v>127</v>
      </c>
      <c r="D144" s="39"/>
      <c r="E144" s="33"/>
      <c r="F144" s="30"/>
      <c r="G144" s="29"/>
      <c r="H144" s="11"/>
    </row>
    <row r="145" spans="1:8" ht="15" hidden="1" customHeight="1">
      <c r="A145" s="41" t="s">
        <v>192</v>
      </c>
      <c r="B145" s="117">
        <v>60</v>
      </c>
      <c r="C145" s="89" t="s">
        <v>158</v>
      </c>
      <c r="D145" s="93"/>
      <c r="E145" s="29"/>
      <c r="F145" s="30"/>
      <c r="G145" s="29"/>
      <c r="H145" s="11"/>
    </row>
    <row r="146" spans="1:8" ht="15" hidden="1" customHeight="1">
      <c r="A146" s="31" t="s">
        <v>121</v>
      </c>
      <c r="B146" s="117">
        <v>106.998</v>
      </c>
      <c r="C146" s="38" t="s">
        <v>257</v>
      </c>
      <c r="D146" s="30"/>
      <c r="E146" s="29"/>
      <c r="F146" s="30"/>
      <c r="G146" s="29"/>
      <c r="H146" s="11"/>
    </row>
    <row r="147" spans="1:8" ht="15" hidden="1" customHeight="1">
      <c r="A147" s="31" t="s">
        <v>122</v>
      </c>
      <c r="B147" s="117">
        <v>278979.90000000002</v>
      </c>
      <c r="C147" s="94" t="s">
        <v>221</v>
      </c>
      <c r="D147" s="30"/>
      <c r="E147" s="29"/>
      <c r="F147" s="30"/>
      <c r="G147" s="29"/>
      <c r="H147" s="11"/>
    </row>
    <row r="148" spans="1:8" ht="15" hidden="1" customHeight="1">
      <c r="A148" s="31" t="s">
        <v>123</v>
      </c>
      <c r="B148" s="117">
        <v>61713.964</v>
      </c>
      <c r="C148" s="88" t="s">
        <v>212</v>
      </c>
      <c r="D148" s="30"/>
      <c r="E148" s="29"/>
      <c r="F148" s="30"/>
      <c r="G148" s="29"/>
      <c r="H148" s="11"/>
    </row>
    <row r="149" spans="1:8" ht="15" hidden="1" customHeight="1">
      <c r="A149" s="31" t="s">
        <v>124</v>
      </c>
      <c r="B149" s="117">
        <v>141.34399999999999</v>
      </c>
      <c r="C149" s="88" t="s">
        <v>212</v>
      </c>
      <c r="D149" s="30"/>
      <c r="E149" s="29"/>
      <c r="F149" s="30"/>
      <c r="G149" s="29"/>
      <c r="H149" s="11"/>
    </row>
    <row r="150" spans="1:8" ht="15" hidden="1" customHeight="1">
      <c r="A150" s="31" t="s">
        <v>125</v>
      </c>
      <c r="B150" s="117">
        <v>245.42500000000001</v>
      </c>
      <c r="C150" s="88" t="s">
        <v>127</v>
      </c>
      <c r="D150" s="30"/>
      <c r="E150" s="29"/>
      <c r="F150" s="30"/>
      <c r="G150" s="29"/>
      <c r="H150" s="11"/>
    </row>
    <row r="151" spans="1:8" ht="15" hidden="1" customHeight="1">
      <c r="A151" s="31" t="s">
        <v>126</v>
      </c>
      <c r="B151" s="117">
        <v>94.117000000000004</v>
      </c>
      <c r="C151" s="88" t="s">
        <v>127</v>
      </c>
      <c r="D151" s="30"/>
      <c r="E151" s="29"/>
      <c r="F151" s="30"/>
      <c r="G151" s="29"/>
      <c r="H151" s="11"/>
    </row>
    <row r="152" spans="1:8" ht="15" hidden="1" customHeight="1">
      <c r="A152" s="31" t="s">
        <v>128</v>
      </c>
      <c r="B152" s="130">
        <v>0.54159999999999997</v>
      </c>
      <c r="C152" s="88" t="s">
        <v>127</v>
      </c>
      <c r="D152" s="30"/>
      <c r="E152" s="29"/>
      <c r="F152" s="30"/>
      <c r="G152" s="29"/>
      <c r="H152" s="11"/>
    </row>
    <row r="153" spans="1:8" ht="15" hidden="1" customHeight="1">
      <c r="A153" s="31" t="s">
        <v>129</v>
      </c>
      <c r="B153" s="117">
        <v>4537.777</v>
      </c>
      <c r="C153" s="88" t="s">
        <v>212</v>
      </c>
      <c r="D153" s="30"/>
      <c r="E153" s="29"/>
      <c r="F153" s="30"/>
      <c r="G153" s="29"/>
      <c r="H153" s="11"/>
    </row>
    <row r="154" spans="1:8" ht="15" hidden="1" customHeight="1">
      <c r="A154" s="31" t="s">
        <v>130</v>
      </c>
      <c r="B154" s="117">
        <v>138.13300000000001</v>
      </c>
      <c r="C154" s="88" t="s">
        <v>212</v>
      </c>
      <c r="D154" s="30"/>
      <c r="E154" s="29"/>
      <c r="F154" s="30"/>
      <c r="G154" s="29"/>
      <c r="H154" s="11"/>
    </row>
    <row r="155" spans="1:8" ht="15" hidden="1" customHeight="1">
      <c r="A155" s="31" t="s">
        <v>131</v>
      </c>
      <c r="B155" s="117">
        <v>499.13</v>
      </c>
      <c r="C155" s="38" t="s">
        <v>263</v>
      </c>
      <c r="D155" s="30"/>
      <c r="E155" s="29"/>
      <c r="F155" s="30"/>
      <c r="G155" s="29"/>
      <c r="H155" s="11"/>
    </row>
    <row r="156" spans="1:8" ht="15" hidden="1" customHeight="1">
      <c r="A156" s="31" t="s">
        <v>132</v>
      </c>
      <c r="B156" s="117">
        <v>337.7</v>
      </c>
      <c r="C156" s="88" t="s">
        <v>57</v>
      </c>
      <c r="D156" s="30"/>
      <c r="E156" s="29"/>
      <c r="F156" s="30"/>
      <c r="G156" s="29"/>
      <c r="H156" s="11"/>
    </row>
    <row r="157" spans="1:8" ht="15" hidden="1" customHeight="1">
      <c r="A157" s="31" t="s">
        <v>133</v>
      </c>
      <c r="B157" s="117">
        <v>106.026</v>
      </c>
      <c r="C157" s="38" t="s">
        <v>162</v>
      </c>
      <c r="D157" s="30"/>
      <c r="E157" s="29"/>
      <c r="F157" s="30"/>
      <c r="G157" s="29"/>
      <c r="H157" s="11"/>
    </row>
    <row r="158" spans="1:8" ht="15" hidden="1" customHeight="1">
      <c r="A158" s="31" t="s">
        <v>134</v>
      </c>
      <c r="B158" s="117">
        <v>1.7468166599999999</v>
      </c>
      <c r="C158" s="38" t="s">
        <v>267</v>
      </c>
      <c r="D158" s="30"/>
      <c r="E158" s="29"/>
      <c r="F158" s="30"/>
      <c r="G158" s="29"/>
      <c r="H158" s="11"/>
    </row>
    <row r="159" spans="1:8" ht="15" hidden="1" customHeight="1">
      <c r="A159" s="31" t="s">
        <v>135</v>
      </c>
      <c r="B159" s="129">
        <v>5.4959910000000001E-2</v>
      </c>
      <c r="C159" s="88" t="s">
        <v>190</v>
      </c>
      <c r="D159" s="30"/>
      <c r="E159" s="29"/>
      <c r="F159" s="30"/>
      <c r="G159" s="29"/>
      <c r="H159" s="11"/>
    </row>
    <row r="160" spans="1:8" ht="15" hidden="1" customHeight="1">
      <c r="A160" s="31" t="s">
        <v>136</v>
      </c>
      <c r="B160" s="117">
        <v>3.1464370000000002</v>
      </c>
      <c r="C160" s="88" t="s">
        <v>222</v>
      </c>
      <c r="D160" s="30"/>
      <c r="E160" s="29"/>
      <c r="F160" s="30"/>
      <c r="G160" s="29"/>
      <c r="H160" s="11"/>
    </row>
    <row r="161" spans="1:8" ht="15" hidden="1" customHeight="1">
      <c r="A161" s="31" t="s">
        <v>137</v>
      </c>
      <c r="B161" s="117">
        <v>0.11494546000000001</v>
      </c>
      <c r="C161" s="38" t="s">
        <v>250</v>
      </c>
      <c r="D161" s="30"/>
      <c r="E161" s="29"/>
      <c r="F161" s="30"/>
      <c r="G161" s="29"/>
      <c r="H161" s="11"/>
    </row>
    <row r="162" spans="1:8" ht="15" hidden="1" customHeight="1">
      <c r="A162" s="31" t="s">
        <v>138</v>
      </c>
      <c r="B162" s="117">
        <v>11.781182449999999</v>
      </c>
      <c r="C162" s="114" t="s">
        <v>267</v>
      </c>
      <c r="D162" s="30"/>
      <c r="E162" s="29"/>
      <c r="F162" s="30"/>
      <c r="G162" s="29"/>
      <c r="H162" s="11"/>
    </row>
    <row r="163" spans="1:8" ht="15" hidden="1" customHeight="1">
      <c r="A163" s="31" t="s">
        <v>139</v>
      </c>
      <c r="B163" s="117">
        <f>45*1000000/((B110+B111+B112)*1000000)</f>
        <v>11.180754790394392</v>
      </c>
      <c r="C163" s="44">
        <v>8.4</v>
      </c>
      <c r="D163" s="29"/>
      <c r="E163" s="95"/>
      <c r="F163" s="30"/>
      <c r="G163" s="29"/>
      <c r="H163" s="11"/>
    </row>
    <row r="164" spans="1:8" ht="15" hidden="1" customHeight="1">
      <c r="A164" s="31" t="s">
        <v>140</v>
      </c>
      <c r="B164" s="117">
        <v>11.39513056</v>
      </c>
      <c r="C164" s="88" t="s">
        <v>164</v>
      </c>
      <c r="D164" s="30"/>
      <c r="E164" s="29"/>
      <c r="F164" s="30"/>
      <c r="G164" s="29"/>
      <c r="H164" s="11"/>
    </row>
    <row r="165" spans="1:8" ht="15" hidden="1" customHeight="1">
      <c r="A165" s="31" t="s">
        <v>141</v>
      </c>
      <c r="B165" s="117">
        <v>4.66098284</v>
      </c>
      <c r="C165" s="88" t="s">
        <v>163</v>
      </c>
      <c r="D165" s="30"/>
      <c r="E165" s="29"/>
      <c r="F165" s="30"/>
      <c r="G165" s="29"/>
      <c r="H165" s="11"/>
    </row>
    <row r="166" spans="1:8" ht="15" hidden="1" customHeight="1">
      <c r="A166" s="31" t="s">
        <v>142</v>
      </c>
      <c r="B166" s="117">
        <v>2.6495350000000002</v>
      </c>
      <c r="C166" s="38" t="s">
        <v>268</v>
      </c>
      <c r="D166" s="30"/>
      <c r="E166" s="29"/>
      <c r="F166" s="30"/>
      <c r="G166" s="29"/>
      <c r="H166" s="11"/>
    </row>
    <row r="167" spans="1:8" ht="15" hidden="1" customHeight="1">
      <c r="A167" s="31" t="s">
        <v>143</v>
      </c>
      <c r="B167" s="117">
        <v>48.754688000000002</v>
      </c>
      <c r="C167" s="88" t="s">
        <v>159</v>
      </c>
      <c r="D167" s="30"/>
      <c r="E167" s="29"/>
      <c r="F167" s="30"/>
      <c r="G167" s="29"/>
      <c r="H167" s="11"/>
    </row>
    <row r="168" spans="1:8" ht="15" hidden="1" customHeight="1">
      <c r="A168" s="31" t="s">
        <v>144</v>
      </c>
      <c r="B168" s="117">
        <v>16.068200000000001</v>
      </c>
      <c r="C168" s="88" t="s">
        <v>145</v>
      </c>
      <c r="D168" s="30"/>
      <c r="E168" s="29"/>
      <c r="F168" s="30"/>
      <c r="G168" s="29"/>
      <c r="H168" s="11"/>
    </row>
    <row r="169" spans="1:8" ht="15" hidden="1" customHeight="1">
      <c r="A169" s="31" t="s">
        <v>146</v>
      </c>
      <c r="B169" s="117">
        <v>3.8819080000000001</v>
      </c>
      <c r="C169" s="88" t="s">
        <v>160</v>
      </c>
      <c r="D169" s="30"/>
      <c r="E169" s="29"/>
      <c r="F169" s="30"/>
      <c r="G169" s="29"/>
      <c r="H169" s="11"/>
    </row>
    <row r="170" spans="1:8" ht="15" hidden="1" customHeight="1">
      <c r="A170" s="31" t="s">
        <v>181</v>
      </c>
      <c r="B170" s="117">
        <v>6.4392990000000001</v>
      </c>
      <c r="C170" s="88" t="s">
        <v>182</v>
      </c>
      <c r="D170" s="30"/>
      <c r="E170" s="29"/>
      <c r="F170" s="30"/>
      <c r="G170" s="29"/>
      <c r="H170" s="11"/>
    </row>
    <row r="171" spans="1:8" ht="15" hidden="1" customHeight="1">
      <c r="A171" s="31" t="s">
        <v>147</v>
      </c>
      <c r="B171" s="117">
        <v>1.997898</v>
      </c>
      <c r="C171" s="88" t="s">
        <v>161</v>
      </c>
      <c r="D171" s="30"/>
      <c r="E171" s="29"/>
      <c r="F171" s="30"/>
      <c r="G171" s="29"/>
      <c r="H171" s="11"/>
    </row>
    <row r="172" spans="1:8" ht="15" hidden="1" customHeight="1">
      <c r="A172" s="31" t="s">
        <v>264</v>
      </c>
      <c r="B172" s="117">
        <v>9.3438320000000008</v>
      </c>
      <c r="C172" s="88" t="s">
        <v>223</v>
      </c>
      <c r="D172" s="30"/>
      <c r="E172" s="29"/>
      <c r="F172" s="30"/>
      <c r="G172" s="29"/>
      <c r="H172" s="11"/>
    </row>
    <row r="173" spans="1:8" ht="15" hidden="1" customHeight="1">
      <c r="A173" s="31" t="s">
        <v>148</v>
      </c>
      <c r="B173" s="124">
        <v>5</v>
      </c>
      <c r="C173" s="29"/>
      <c r="D173" s="30"/>
      <c r="E173" s="29"/>
      <c r="F173" s="30"/>
      <c r="G173" s="29"/>
      <c r="H173" s="11"/>
    </row>
    <row r="174" spans="1:8" ht="15" hidden="1" customHeight="1">
      <c r="A174" s="31" t="s">
        <v>149</v>
      </c>
      <c r="B174" s="117">
        <v>36.828000000000003</v>
      </c>
      <c r="C174" s="90" t="s">
        <v>212</v>
      </c>
      <c r="D174" s="30"/>
      <c r="E174" s="29"/>
      <c r="F174" s="30"/>
      <c r="G174" s="29"/>
      <c r="H174" s="11"/>
    </row>
    <row r="175" spans="1:8" ht="15" hidden="1" customHeight="1">
      <c r="A175" s="31" t="s">
        <v>150</v>
      </c>
      <c r="B175" s="117">
        <v>106.026</v>
      </c>
      <c r="C175" s="88" t="s">
        <v>212</v>
      </c>
      <c r="D175" s="30"/>
      <c r="E175" s="29"/>
      <c r="F175" s="30"/>
      <c r="G175" s="29"/>
      <c r="H175" s="11"/>
    </row>
    <row r="176" spans="1:8" ht="15" hidden="1" customHeight="1">
      <c r="A176" s="31" t="s">
        <v>151</v>
      </c>
      <c r="B176" s="132">
        <f>20%*((0.824772029-0.0074)+47%*0.175227971)+10%*(0.175227971*53%+0.0074)</f>
        <v>0.18997291753700002</v>
      </c>
      <c r="C176" s="88" t="s">
        <v>169</v>
      </c>
      <c r="D176" s="30"/>
      <c r="E176" s="29"/>
      <c r="F176" s="30"/>
      <c r="G176" s="29"/>
      <c r="H176" s="11"/>
    </row>
    <row r="177" spans="1:8" ht="15" hidden="1" customHeight="1">
      <c r="A177" s="31" t="s">
        <v>152</v>
      </c>
      <c r="B177" s="117">
        <v>52.3</v>
      </c>
      <c r="C177" s="38" t="s">
        <v>259</v>
      </c>
      <c r="D177" s="39"/>
      <c r="E177" s="29"/>
      <c r="F177" s="30"/>
      <c r="G177" s="29"/>
      <c r="H177" s="11"/>
    </row>
    <row r="178" spans="1:8" ht="15" hidden="1" customHeight="1">
      <c r="A178" s="31" t="s">
        <v>153</v>
      </c>
      <c r="B178" s="117">
        <v>9.1</v>
      </c>
      <c r="C178" s="88" t="s">
        <v>224</v>
      </c>
      <c r="D178" s="39"/>
      <c r="E178" s="29"/>
      <c r="F178" s="30"/>
      <c r="G178" s="29"/>
      <c r="H178" s="11"/>
    </row>
    <row r="179" spans="1:8" ht="15" hidden="1" customHeight="1">
      <c r="A179" s="31" t="s">
        <v>154</v>
      </c>
      <c r="B179" s="127">
        <f>7038/B119</f>
        <v>1298.6555280230416</v>
      </c>
      <c r="C179" s="88" t="s">
        <v>183</v>
      </c>
      <c r="D179" s="30"/>
      <c r="E179" s="29"/>
      <c r="F179" s="30"/>
      <c r="G179" s="29"/>
      <c r="H179" s="11"/>
    </row>
    <row r="180" spans="1:8" ht="15" hidden="1" customHeight="1">
      <c r="A180" s="31" t="s">
        <v>23</v>
      </c>
      <c r="B180" s="120">
        <v>12.319839999999999</v>
      </c>
      <c r="C180" s="38" t="s">
        <v>261</v>
      </c>
      <c r="D180" s="30"/>
      <c r="E180" s="29"/>
      <c r="F180" s="30"/>
      <c r="G180" s="29"/>
      <c r="H180" s="11"/>
    </row>
    <row r="181" spans="1:8" ht="15" hidden="1" customHeight="1">
      <c r="A181" s="31" t="s">
        <v>24</v>
      </c>
      <c r="B181" s="117">
        <v>3</v>
      </c>
      <c r="C181" s="96" t="s">
        <v>173</v>
      </c>
      <c r="D181" s="35"/>
      <c r="E181" s="36"/>
      <c r="F181" s="35"/>
      <c r="G181" s="36"/>
      <c r="H181" s="37"/>
    </row>
    <row r="182" spans="1:8" ht="15" hidden="1" customHeight="1">
      <c r="A182" s="31" t="s">
        <v>178</v>
      </c>
      <c r="B182" s="117">
        <f>526.233+354.744+211.422+192.305</f>
        <v>1284.704</v>
      </c>
      <c r="C182" s="88" t="s">
        <v>162</v>
      </c>
    </row>
    <row r="183" spans="1:8" ht="15" hidden="1" customHeight="1">
      <c r="A183" s="31" t="s">
        <v>185</v>
      </c>
      <c r="B183" s="117">
        <v>97.928467999999995</v>
      </c>
      <c r="C183" s="38" t="s">
        <v>261</v>
      </c>
    </row>
    <row r="184" spans="1:8" ht="15" hidden="1" customHeight="1">
      <c r="A184" s="31" t="s">
        <v>197</v>
      </c>
      <c r="B184" s="131">
        <v>0</v>
      </c>
      <c r="C184" s="87" t="s">
        <v>198</v>
      </c>
    </row>
    <row r="185" spans="1:8" ht="15" hidden="1" customHeight="1">
      <c r="A185" s="31" t="s">
        <v>199</v>
      </c>
      <c r="B185" s="117">
        <v>275</v>
      </c>
      <c r="C185" s="115" t="s">
        <v>255</v>
      </c>
    </row>
    <row r="186" spans="1:8" ht="15" hidden="1" customHeight="1">
      <c r="A186" s="31" t="s">
        <v>200</v>
      </c>
      <c r="B186" s="117">
        <f>(((268.88*6+273.99*6)/12)*19.2)/12</f>
        <v>434.29599999999999</v>
      </c>
      <c r="C186" s="87" t="s">
        <v>225</v>
      </c>
    </row>
    <row r="187" spans="1:8" ht="15" hidden="1" customHeight="1"/>
    <row r="188" spans="1:8" ht="15" hidden="1" customHeight="1"/>
    <row r="189" spans="1:8" ht="15" hidden="1" customHeight="1">
      <c r="A189" s="40" t="s">
        <v>274</v>
      </c>
    </row>
    <row r="190" spans="1:8" ht="15" hidden="1" customHeight="1">
      <c r="A190" s="1" t="s">
        <v>204</v>
      </c>
    </row>
    <row r="191" spans="1:8" ht="15" hidden="1" customHeight="1">
      <c r="A191" s="1" t="s">
        <v>205</v>
      </c>
    </row>
    <row r="192" spans="1:8" ht="15" hidden="1" customHeight="1">
      <c r="A192" s="1" t="s">
        <v>206</v>
      </c>
    </row>
    <row r="193" spans="1:1" ht="15" hidden="1" customHeight="1">
      <c r="A193" s="1" t="s">
        <v>207</v>
      </c>
    </row>
    <row r="194" spans="1:1" ht="15" hidden="1" customHeight="1">
      <c r="A194" s="1" t="s">
        <v>208</v>
      </c>
    </row>
    <row r="195" spans="1:1" ht="15" hidden="1" customHeight="1">
      <c r="A195" s="1" t="s">
        <v>209</v>
      </c>
    </row>
    <row r="196" spans="1:1" ht="15" hidden="1" customHeight="1">
      <c r="A196" s="1" t="s">
        <v>210</v>
      </c>
    </row>
    <row r="197" spans="1:1" ht="15" hidden="1" customHeight="1">
      <c r="A197" s="1" t="s">
        <v>269</v>
      </c>
    </row>
    <row r="198" spans="1:1" ht="15" hidden="1" customHeight="1">
      <c r="A198" s="1" t="s">
        <v>270</v>
      </c>
    </row>
    <row r="199" spans="1:1" ht="15" hidden="1" customHeight="1">
      <c r="A199" s="1" t="s">
        <v>271</v>
      </c>
    </row>
    <row r="200" spans="1:1" ht="15" hidden="1" customHeight="1"/>
    <row r="201" spans="1:1" ht="15" hidden="1" customHeight="1"/>
    <row r="202" spans="1:1" ht="15" hidden="1" customHeight="1"/>
    <row r="203" spans="1:1" ht="15" hidden="1" customHeight="1"/>
    <row r="204" spans="1:1" ht="15" hidden="1" customHeight="1"/>
    <row r="205" spans="1:1" ht="15" hidden="1" customHeight="1"/>
    <row r="206" spans="1:1" ht="15" hidden="1" customHeight="1"/>
    <row r="207" spans="1:1" ht="15" hidden="1" customHeight="1"/>
    <row r="208" spans="1:1" ht="15" hidden="1" customHeight="1"/>
    <row r="209" ht="15" hidden="1" customHeight="1"/>
    <row r="210" ht="15" hidden="1" customHeight="1"/>
    <row r="211" ht="15" hidden="1" customHeight="1"/>
    <row r="212" ht="15" hidden="1" customHeight="1"/>
    <row r="213" ht="15" hidden="1" customHeight="1"/>
    <row r="214" ht="15" hidden="1" customHeight="1"/>
    <row r="215" ht="15" hidden="1" customHeight="1"/>
    <row r="216" ht="15" hidden="1" customHeight="1"/>
    <row r="217" ht="15" hidden="1" customHeight="1"/>
    <row r="218" ht="15" hidden="1" customHeight="1"/>
    <row r="219" ht="15" hidden="1" customHeight="1"/>
    <row r="220" ht="15" hidden="1" customHeight="1"/>
    <row r="221" ht="15" hidden="1" customHeight="1"/>
    <row r="222" ht="15" hidden="1" customHeight="1"/>
    <row r="223" ht="15" hidden="1" customHeight="1"/>
    <row r="224" ht="15" hidden="1" customHeight="1"/>
    <row r="225" ht="15" hidden="1" customHeight="1"/>
    <row r="226" ht="15" hidden="1" customHeight="1"/>
    <row r="227" ht="15" hidden="1" customHeight="1"/>
    <row r="228" ht="15" hidden="1" customHeight="1"/>
    <row r="229" ht="15" hidden="1" customHeight="1"/>
    <row r="230" ht="15" hidden="1" customHeight="1"/>
    <row r="231" ht="15" hidden="1" customHeight="1"/>
    <row r="232" ht="15" hidden="1" customHeight="1"/>
    <row r="233" ht="15" hidden="1" customHeight="1"/>
    <row r="234" ht="15" hidden="1" customHeight="1"/>
    <row r="235" ht="15" hidden="1" customHeight="1"/>
    <row r="236" ht="15" hidden="1" customHeight="1"/>
    <row r="237" ht="15" hidden="1" customHeight="1"/>
    <row r="238" ht="15" hidden="1" customHeight="1"/>
    <row r="239" ht="15" hidden="1" customHeight="1"/>
    <row r="240" ht="15" hidden="1" customHeight="1"/>
    <row r="241" ht="15" hidden="1" customHeight="1"/>
    <row r="242" ht="15" hidden="1" customHeight="1"/>
    <row r="243" ht="15" hidden="1" customHeight="1"/>
    <row r="244" ht="15" hidden="1" customHeight="1"/>
    <row r="245" ht="15" hidden="1" customHeight="1"/>
    <row r="246" ht="15" hidden="1" customHeight="1"/>
    <row r="247" ht="15" hidden="1" customHeight="1"/>
    <row r="248" ht="15" hidden="1" customHeight="1"/>
    <row r="249" ht="15" hidden="1" customHeight="1"/>
    <row r="250" ht="15" hidden="1" customHeight="1"/>
    <row r="251" ht="15" hidden="1" customHeight="1"/>
    <row r="252" ht="15" hidden="1" customHeight="1"/>
    <row r="253" ht="15" hidden="1" customHeight="1"/>
    <row r="254" ht="15" hidden="1" customHeight="1"/>
    <row r="255" ht="15" hidden="1" customHeight="1"/>
    <row r="256" ht="15" hidden="1" customHeight="1"/>
    <row r="257" ht="15" hidden="1" customHeight="1"/>
    <row r="258" ht="15" hidden="1" customHeight="1"/>
    <row r="259" ht="15" hidden="1" customHeight="1"/>
    <row r="260" ht="15" hidden="1" customHeight="1"/>
    <row r="261" ht="15" hidden="1" customHeight="1"/>
    <row r="262" ht="15" hidden="1" customHeight="1"/>
    <row r="263" ht="15" hidden="1" customHeight="1"/>
    <row r="264" ht="15" hidden="1" customHeight="1"/>
    <row r="265" ht="15" hidden="1" customHeight="1"/>
    <row r="266" ht="15" hidden="1" customHeight="1"/>
    <row r="267" ht="15" hidden="1" customHeight="1"/>
    <row r="268" ht="15" hidden="1" customHeight="1"/>
    <row r="269" ht="15" hidden="1" customHeight="1"/>
    <row r="270" ht="15" hidden="1" customHeight="1"/>
    <row r="271" ht="15" hidden="1" customHeight="1"/>
    <row r="272" ht="15" hidden="1" customHeight="1"/>
    <row r="273" ht="15" hidden="1" customHeight="1"/>
    <row r="274" ht="15" hidden="1" customHeight="1"/>
    <row r="275" ht="15" hidden="1" customHeight="1"/>
    <row r="276" ht="15" hidden="1" customHeight="1"/>
    <row r="277" ht="15" hidden="1" customHeight="1"/>
    <row r="278" ht="15" hidden="1" customHeight="1"/>
    <row r="279" ht="15" hidden="1" customHeight="1"/>
    <row r="280" ht="15" hidden="1" customHeight="1"/>
    <row r="281" ht="15" hidden="1" customHeight="1"/>
    <row r="282" ht="15" hidden="1" customHeight="1"/>
    <row r="283" ht="15" hidden="1" customHeight="1"/>
    <row r="284" ht="15" hidden="1" customHeight="1"/>
    <row r="285" ht="15" hidden="1" customHeight="1"/>
    <row r="286" ht="15" hidden="1" customHeight="1"/>
    <row r="287" ht="15" hidden="1" customHeight="1"/>
    <row r="288" ht="15" hidden="1" customHeight="1"/>
    <row r="289" ht="15" hidden="1" customHeight="1"/>
    <row r="290" ht="15" hidden="1" customHeight="1"/>
    <row r="291" ht="15" hidden="1" customHeight="1"/>
    <row r="292" ht="15" hidden="1" customHeight="1"/>
    <row r="293" ht="15" hidden="1" customHeight="1"/>
    <row r="294" ht="15" hidden="1" customHeight="1"/>
    <row r="295" ht="15" hidden="1" customHeight="1"/>
    <row r="296" ht="15" hidden="1" customHeight="1"/>
    <row r="297" ht="15" hidden="1" customHeight="1"/>
    <row r="298" ht="15" hidden="1" customHeight="1"/>
    <row r="299" ht="15" hidden="1" customHeight="1"/>
    <row r="300" ht="15" hidden="1" customHeight="1"/>
    <row r="301" ht="15" hidden="1" customHeight="1"/>
    <row r="302" ht="15" hidden="1" customHeight="1"/>
  </sheetData>
  <mergeCells count="2">
    <mergeCell ref="A62:E62"/>
    <mergeCell ref="B88:E88"/>
  </mergeCells>
  <hyperlinks>
    <hyperlink ref="H8" r:id="rId1" xr:uid="{00000000-0004-0000-0000-000000000000}"/>
    <hyperlink ref="C113" r:id="rId2" location="!/view/sk/VBD_INTERN/st0003qs/v_st0003qs_00_00_00_sk" display="http://datacube.statistics.sk/#!/view/sk/VBD_INTERN/st0003qs/v_st0003qs_00_00_00_sk" xr:uid="{00000000-0004-0000-0000-000068000000}"/>
    <hyperlink ref="C93" r:id="rId3" xr:uid="{00000000-0004-0000-0000-000066000000}"/>
    <hyperlink ref="C98" r:id="rId4" xr:uid="{00000000-0004-0000-0000-000065000000}"/>
    <hyperlink ref="C99" r:id="rId5" xr:uid="{00000000-0004-0000-0000-000064000000}"/>
    <hyperlink ref="C101" r:id="rId6" xr:uid="{00000000-0004-0000-0000-000063000000}"/>
    <hyperlink ref="C92" display="http://statdat.statistics.sk/cognosext/cgi-bin/cognos.cgi?b_action=cognosViewer&amp;ui.action=run&amp;ui.object=storeID(%22i94C7052B240A492FB3BE8C7A487D337B%22)&amp;ui.name=Priemern%C3%A1%20mesa%C4%8Dn%C3%A1%20mzda%20v%20hospod%C3%A1rstve%20SR%20%5Bpr0204qs%5D&amp;run.ou" xr:uid="{00000000-0004-0000-0000-000062000000}"/>
    <hyperlink ref="C175" r:id="rId7" xr:uid="{00000000-0004-0000-0000-00005F000000}"/>
    <hyperlink ref="C174" r:id="rId8" xr:uid="{00000000-0004-0000-0000-00005E000000}"/>
    <hyperlink ref="C186" r:id="rId9" location="paragraf-11" xr:uid="{00000000-0004-0000-0000-00005B000000}"/>
    <hyperlink ref="C185" r:id="rId10" xr:uid="{00000000-0004-0000-0000-00005A000000}"/>
    <hyperlink ref="C183" r:id="rId11" xr:uid="{00000000-0004-0000-0000-000059000000}"/>
    <hyperlink ref="C184" r:id="rId12" xr:uid="{00000000-0004-0000-0000-000058000000}"/>
    <hyperlink ref="C158" r:id="rId13" xr:uid="{00000000-0004-0000-0000-000057000000}"/>
    <hyperlink ref="C159" r:id="rId14" xr:uid="{00000000-0004-0000-0000-000051000000}"/>
    <hyperlink ref="C182" r:id="rId15" xr:uid="{00000000-0004-0000-0000-000050000000}"/>
    <hyperlink ref="C162" r:id="rId16" xr:uid="{00000000-0004-0000-0000-00004F000000}"/>
    <hyperlink ref="C176" r:id="rId17" xr:uid="{00000000-0004-0000-0000-00004E000000}"/>
    <hyperlink ref="C160" r:id="rId18" xr:uid="{00000000-0004-0000-0000-00004C000000}"/>
    <hyperlink ref="C161" r:id="rId19" xr:uid="{00000000-0004-0000-0000-00004B000000}"/>
    <hyperlink ref="C166" r:id="rId20" xr:uid="{00000000-0004-0000-0000-00004A000000}"/>
    <hyperlink ref="C179" r:id="rId21" xr:uid="{00000000-0004-0000-0000-000049000000}"/>
    <hyperlink ref="C178" r:id="rId22" display="www.statistics.sk" xr:uid="{00000000-0004-0000-0000-000048000000}"/>
    <hyperlink ref="C177" r:id="rId23" location="!/view/sk/VBD_SLOVSTAT/ps2041rs/v_ps2041rs_00_00_00_sk" xr:uid="{00000000-0004-0000-0000-000047000000}"/>
    <hyperlink ref="C168" r:id="rId24" xr:uid="{00000000-0004-0000-0000-000046000000}"/>
    <hyperlink ref="C181" r:id="rId25" xr:uid="{00000000-0004-0000-0000-000045000000}"/>
    <hyperlink ref="C180" r:id="rId26" xr:uid="{00000000-0004-0000-0000-000044000000}"/>
    <hyperlink ref="C172" r:id="rId27" display="https://www.sadtn.sk/files/Vyrocna_%20sprava_2017.pdf" xr:uid="{00000000-0004-0000-0000-000043000000}"/>
    <hyperlink ref="C171" r:id="rId28" xr:uid="{00000000-0004-0000-0000-000042000000}"/>
    <hyperlink ref="C170" r:id="rId29" xr:uid="{00000000-0004-0000-0000-000041000000}"/>
    <hyperlink ref="C169" r:id="rId30" xr:uid="{00000000-0004-0000-0000-000040000000}"/>
    <hyperlink ref="C167" r:id="rId31" xr:uid="{00000000-0004-0000-0000-00003F000000}"/>
    <hyperlink ref="C165" r:id="rId32" xr:uid="{00000000-0004-0000-0000-00003E000000}"/>
    <hyperlink ref="C164" r:id="rId33" xr:uid="{00000000-0004-0000-0000-00003D000000}"/>
    <hyperlink ref="C157" r:id="rId34" xr:uid="{00000000-0004-0000-0000-00003C000000}"/>
    <hyperlink ref="C133" r:id="rId35" xr:uid="{00000000-0004-0000-0000-00003B000000}"/>
    <hyperlink ref="C134" r:id="rId36" xr:uid="{00000000-0004-0000-0000-00003A000000}"/>
    <hyperlink ref="C148" r:id="rId37" xr:uid="{00000000-0004-0000-0000-000039000000}"/>
    <hyperlink ref="C115" r:id="rId38" location="!/view/sk/VBD_SLOVSTAT/st2001rs/v_st2001rs_00_00_00_sk" display="http://datacube.statistics.sk/#!/view/sk/VBD_SLOVSTAT/st2001rs/v_st2001rs_00_00_00_sk" xr:uid="{00000000-0004-0000-0000-000038000000}"/>
    <hyperlink ref="C111" r:id="rId39" location="!/view/sk/VBD_SK_WIN/nu1024rs/v_nu1024rs_00_00_00_sk" xr:uid="{00000000-0004-0000-0000-000037000000}"/>
    <hyperlink ref="C110" r:id="rId40" location="!/view/sk/VBD_SK_WIN/nu1024rs/v_nu1024rs_00_00_00_sk" xr:uid="{00000000-0004-0000-0000-000036000000}"/>
    <hyperlink ref="C109" r:id="rId41" xr:uid="{00000000-0004-0000-0000-000035000000}"/>
    <hyperlink ref="C108" r:id="rId42" xr:uid="{00000000-0004-0000-0000-000034000000}"/>
    <hyperlink ref="C107" r:id="rId43" xr:uid="{00000000-0004-0000-0000-000033000000}"/>
    <hyperlink ref="C103" r:id="rId44" xr:uid="{00000000-0004-0000-0000-000032000000}"/>
    <hyperlink ref="C102" r:id="rId45" xr:uid="{00000000-0004-0000-0000-000031000000}"/>
    <hyperlink ref="C155" r:id="rId46" xr:uid="{00000000-0004-0000-0000-000030000000}"/>
    <hyperlink ref="C114" r:id="rId47" location="!/view/sk/VBD_INTERN/st0003qs/v_st0003qs_00_00_00_sk" display="http://datacube.statistics.sk/#!/view/sk/VBD_INTERN/st0003qs/v_st0003qs_00_00_00_sk" xr:uid="{00000000-0004-0000-0000-00002C000000}"/>
    <hyperlink ref="C94" r:id="rId48" xr:uid="{00000000-0004-0000-0000-000029000000}"/>
    <hyperlink ref="C122" r:id="rId49" xr:uid="{00000000-0004-0000-0000-000028000000}"/>
    <hyperlink ref="C105" r:id="rId50" xr:uid="{00000000-0004-0000-0000-000027000000}"/>
    <hyperlink ref="C150" r:id="rId51" xr:uid="{00000000-0004-0000-0000-000026000000}"/>
    <hyperlink ref="C100" r:id="rId52" xr:uid="{00000000-0004-0000-0000-000025000000}"/>
    <hyperlink ref="C139" r:id="rId53" xr:uid="{00000000-0004-0000-0000-000024000000}"/>
    <hyperlink ref="C141" r:id="rId54" xr:uid="{00000000-0004-0000-0000-000023000000}"/>
    <hyperlink ref="F142" r:id="rId55" xr:uid="{00000000-0004-0000-0000-000021000000}"/>
    <hyperlink ref="C142" r:id="rId56" location="p5" xr:uid="{00000000-0004-0000-0000-000020000000}"/>
    <hyperlink ref="C149" r:id="rId57" xr:uid="{00000000-0004-0000-0000-00001F000000}"/>
    <hyperlink ref="C147" r:id="rId58" location="!/view/sk/VBD_INTERN/nu0007rs/v_nu0007rs_00_00_00_sk" display="http://datacube.statistics.sk/#!/view/sk/VBD_INTERN/nu0007rs/v_nu0007rs_00_00_00_sk" xr:uid="{00000000-0004-0000-0000-00001E000000}"/>
    <hyperlink ref="C123" r:id="rId59" xr:uid="{00000000-0004-0000-0000-00001D000000}"/>
    <hyperlink ref="C127" r:id="rId60" xr:uid="{00000000-0004-0000-0000-00001C000000}"/>
    <hyperlink ref="C126" r:id="rId61" xr:uid="{00000000-0004-0000-0000-00001B000000}"/>
    <hyperlink ref="C125" r:id="rId62" xr:uid="{00000000-0004-0000-0000-00001A000000}"/>
    <hyperlink ref="C124" r:id="rId63" xr:uid="{00000000-0004-0000-0000-000019000000}"/>
    <hyperlink ref="C135" r:id="rId64" xr:uid="{00000000-0004-0000-0000-000018000000}"/>
    <hyperlink ref="C132" r:id="rId65" xr:uid="{00000000-0004-0000-0000-000017000000}"/>
    <hyperlink ref="C151" r:id="rId66" xr:uid="{00000000-0004-0000-0000-000016000000}"/>
    <hyperlink ref="C128" r:id="rId67" xr:uid="{00000000-0004-0000-0000-000015000000}"/>
    <hyperlink ref="C131" r:id="rId68" xr:uid="{00000000-0004-0000-0000-000014000000}"/>
    <hyperlink ref="C136" r:id="rId69" display="https://www.slov-lex.sk/pravne-predpisy/SK/ZZ/2012/340/" xr:uid="{00000000-0004-0000-0000-000013000000}"/>
    <hyperlink ref="C137" r:id="rId70" xr:uid="{00000000-0004-0000-0000-000012000000}"/>
    <hyperlink ref="C138" r:id="rId71" xr:uid="{00000000-0004-0000-0000-000011000000}"/>
    <hyperlink ref="C140" r:id="rId72" xr:uid="{00000000-0004-0000-0000-000010000000}"/>
    <hyperlink ref="C143" r:id="rId73" xr:uid="{00000000-0004-0000-0000-00000F000000}"/>
    <hyperlink ref="C121" r:id="rId74" xr:uid="{00000000-0004-0000-0000-00000E000000}"/>
    <hyperlink ref="C156" display="http://statdat.statistics.sk/cognosext/cgi-bin/cognos.cgi?b_action=cognosViewer&amp;ui.action=run&amp;ui.object=storeID(%22iC47DE059516A434A9A7F9DC5ED37071C%22)&amp;ui.name=Povinn%C3%A9%20soci%C3%A1lne%20poistenie%20-%20pr%C3%ADjmy%20a%20v%C3%BDdavky%20-%20medziro%C4" xr:uid="{00000000-0004-0000-0000-00000D000000}"/>
    <hyperlink ref="C154" r:id="rId75" xr:uid="{00000000-0004-0000-0000-00000C000000}"/>
    <hyperlink ref="C153" r:id="rId76" xr:uid="{00000000-0004-0000-0000-00000B000000}"/>
    <hyperlink ref="C145" display="https://eznamka.sk/selfcare/purchase/?sessionexpired=False&amp;frompayment=False&amp;sessionExpired=false&amp;frompayment=false&amp;screenWidth=1920&amp;agent=mozilla%2F5.0+(windows+nt+10.0%3B+win64%3B+x64)+applewebkit%2F537.36+(khtml%2C+like+gecko)+chrome%2F75.0.3770.100+sa" xr:uid="{00000000-0004-0000-0000-00000A000000}"/>
    <hyperlink ref="C104" r:id="rId77" xr:uid="{00000000-0004-0000-0000-000009000000}"/>
    <hyperlink ref="C106" display="http://statdat.statistics.sk/cognosext/cgi-bin/cognos.cgi?b_action=cognosViewer&amp;ui.action=run&amp;ui.object=storeID(%22i42A8A014A687495596DC929810349606%22)&amp;ui.name=Pracuj%C3%BAci%20pod%C4%BEa%20veku%20%5Bpr3115qr%5D&amp;run.outputFormat=&amp;run.prompt=true&amp;cv.heade" xr:uid="{00000000-0004-0000-0000-000008000000}"/>
    <hyperlink ref="C97" r:id="rId78" display="https://podpora.financnasprava.sk/181867-Stravovanie-zamestnancov" xr:uid="{00000000-0004-0000-0000-000007000000}"/>
    <hyperlink ref="C95" r:id="rId79" xr:uid="{00000000-0004-0000-0000-000006000000}"/>
    <hyperlink ref="C152" r:id="rId80" xr:uid="{00000000-0004-0000-0000-000005000000}"/>
    <hyperlink ref="C146" r:id="rId81" xr:uid="{00000000-0004-0000-0000-000004000000}"/>
    <hyperlink ref="C144" r:id="rId82" xr:uid="{00000000-0004-0000-0000-000003000000}"/>
    <hyperlink ref="C130" r:id="rId83" display="http://www.minv.sk/?zmena-vlastnictva-vozidla" xr:uid="{00000000-0004-0000-0000-000002000000}"/>
    <hyperlink ref="C129" r:id="rId84" xr:uid="{00000000-0004-0000-0000-000001000000}"/>
  </hyperlinks>
  <pageMargins left="0.24" right="0.24" top="0.17" bottom="0.17" header="0.17" footer="0.17"/>
  <pageSetup scale="85" orientation="portrait" r:id="rId85"/>
  <headerFooter>
    <oddFooter>&amp;C&amp;"Helvetica Neue,Regular"&amp;11&amp;K000000&amp;P</oddFooter>
  </headerFooter>
  <drawing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51"/>
  <sheetViews>
    <sheetView workbookViewId="0">
      <selection activeCell="C43" sqref="C43"/>
    </sheetView>
  </sheetViews>
  <sheetFormatPr defaultRowHeight="15"/>
  <cols>
    <col min="2" max="2" width="30.42578125" bestFit="1" customWidth="1"/>
    <col min="3" max="3" width="16.28515625" bestFit="1" customWidth="1"/>
    <col min="4" max="4" width="13.5703125" bestFit="1" customWidth="1"/>
  </cols>
  <sheetData>
    <row r="3" spans="2:4">
      <c r="B3" s="98" t="s">
        <v>231</v>
      </c>
      <c r="C3" s="98">
        <v>2024</v>
      </c>
      <c r="D3" s="98">
        <v>2024</v>
      </c>
    </row>
    <row r="4" spans="2:4">
      <c r="B4" s="98"/>
      <c r="C4" s="98"/>
      <c r="D4" s="98"/>
    </row>
    <row r="5" spans="2:4">
      <c r="B5" s="101" t="s">
        <v>234</v>
      </c>
      <c r="C5" s="102" t="s">
        <v>232</v>
      </c>
      <c r="D5" s="102" t="s">
        <v>233</v>
      </c>
    </row>
    <row r="6" spans="2:4">
      <c r="B6" s="102" t="s">
        <v>235</v>
      </c>
      <c r="C6" s="109">
        <v>1.25</v>
      </c>
      <c r="D6" s="109">
        <v>1.25</v>
      </c>
    </row>
    <row r="7" spans="2:4">
      <c r="B7" s="97" t="s">
        <v>236</v>
      </c>
      <c r="C7" s="110">
        <v>1</v>
      </c>
      <c r="D7" s="110">
        <v>1</v>
      </c>
    </row>
    <row r="8" spans="2:4">
      <c r="B8" s="97" t="s">
        <v>237</v>
      </c>
      <c r="C8" s="110">
        <v>0.75</v>
      </c>
      <c r="D8" s="110">
        <v>0.75</v>
      </c>
    </row>
    <row r="9" spans="2:4">
      <c r="B9" s="97" t="s">
        <v>238</v>
      </c>
      <c r="C9" s="110">
        <v>0.8</v>
      </c>
      <c r="D9" s="110">
        <v>0.9</v>
      </c>
    </row>
    <row r="10" spans="2:4">
      <c r="B10" s="97" t="s">
        <v>239</v>
      </c>
      <c r="C10" s="110">
        <v>1.2</v>
      </c>
      <c r="D10" s="110">
        <v>1.2</v>
      </c>
    </row>
    <row r="11" spans="2:4">
      <c r="B11" s="97" t="s">
        <v>240</v>
      </c>
      <c r="C11" s="110">
        <v>1</v>
      </c>
      <c r="D11" s="110">
        <v>0.65</v>
      </c>
    </row>
    <row r="12" spans="2:4">
      <c r="B12" s="97" t="s">
        <v>241</v>
      </c>
      <c r="C12" s="110">
        <v>0.82899999999999996</v>
      </c>
      <c r="D12" s="110">
        <v>0.82899999999999996</v>
      </c>
    </row>
    <row r="13" spans="2:4">
      <c r="B13" s="97" t="s">
        <v>242</v>
      </c>
      <c r="C13" s="109">
        <v>1.2070000000000001</v>
      </c>
      <c r="D13" s="109">
        <v>1.2070000000000001</v>
      </c>
    </row>
    <row r="14" spans="2:4">
      <c r="B14" s="102"/>
      <c r="C14" s="102"/>
      <c r="D14" s="102"/>
    </row>
    <row r="15" spans="2:4">
      <c r="B15" s="102"/>
      <c r="C15" s="97">
        <f t="shared" ref="C15:D15" si="0">AVERAGE(C6:C13)</f>
        <v>1.0044999999999999</v>
      </c>
      <c r="D15" s="97">
        <f t="shared" si="0"/>
        <v>0.97324999999999995</v>
      </c>
    </row>
    <row r="16" spans="2:4">
      <c r="B16" s="112" t="s">
        <v>243</v>
      </c>
      <c r="C16" s="112">
        <f>(C15*0.79)+(D15*0.21)</f>
        <v>0.99793750000000003</v>
      </c>
      <c r="D16" s="112"/>
    </row>
    <row r="17" spans="2:4">
      <c r="B17" s="112"/>
      <c r="C17" s="112"/>
      <c r="D17" s="112"/>
    </row>
    <row r="18" spans="2:4">
      <c r="B18" s="112"/>
      <c r="C18" s="98">
        <v>2024</v>
      </c>
      <c r="D18" s="98">
        <v>2024</v>
      </c>
    </row>
    <row r="19" spans="2:4">
      <c r="B19" s="101" t="s">
        <v>248</v>
      </c>
      <c r="C19" s="102" t="s">
        <v>232</v>
      </c>
      <c r="D19" s="102" t="s">
        <v>233</v>
      </c>
    </row>
    <row r="20" spans="2:4">
      <c r="B20" s="102" t="s">
        <v>235</v>
      </c>
      <c r="C20" s="103">
        <v>40</v>
      </c>
      <c r="D20" s="103">
        <v>20</v>
      </c>
    </row>
    <row r="21" spans="2:4">
      <c r="B21" s="97" t="s">
        <v>236</v>
      </c>
      <c r="C21" s="100">
        <v>35</v>
      </c>
      <c r="D21" s="100">
        <v>10</v>
      </c>
    </row>
    <row r="22" spans="2:4">
      <c r="B22" s="97" t="s">
        <v>237</v>
      </c>
      <c r="C22" s="100">
        <v>35</v>
      </c>
      <c r="D22" s="100">
        <v>12</v>
      </c>
    </row>
    <row r="23" spans="2:4">
      <c r="B23" s="97" t="s">
        <v>238</v>
      </c>
      <c r="C23" s="100">
        <v>35</v>
      </c>
      <c r="D23" s="100">
        <v>15</v>
      </c>
    </row>
    <row r="24" spans="2:4">
      <c r="B24" s="97" t="s">
        <v>239</v>
      </c>
      <c r="C24" s="100">
        <v>40</v>
      </c>
      <c r="D24" s="100">
        <v>10</v>
      </c>
    </row>
    <row r="25" spans="2:4">
      <c r="B25" s="97" t="s">
        <v>240</v>
      </c>
      <c r="C25" s="100">
        <v>36</v>
      </c>
      <c r="D25" s="100">
        <v>18</v>
      </c>
    </row>
    <row r="26" spans="2:4">
      <c r="B26" s="97" t="s">
        <v>241</v>
      </c>
      <c r="C26" s="100">
        <v>40</v>
      </c>
      <c r="D26" s="100">
        <v>10</v>
      </c>
    </row>
    <row r="27" spans="2:4">
      <c r="B27" s="97" t="s">
        <v>242</v>
      </c>
      <c r="C27" s="100">
        <v>50</v>
      </c>
      <c r="D27" s="100">
        <v>20</v>
      </c>
    </row>
    <row r="28" spans="2:4">
      <c r="B28" s="97"/>
      <c r="C28" s="97"/>
      <c r="D28" s="97"/>
    </row>
    <row r="29" spans="2:4">
      <c r="B29" s="97"/>
      <c r="C29" s="100">
        <f t="shared" ref="C29:D29" si="1">AVERAGE(C20:C27)</f>
        <v>38.875</v>
      </c>
      <c r="D29" s="100">
        <f t="shared" si="1"/>
        <v>14.375</v>
      </c>
    </row>
    <row r="30" spans="2:4">
      <c r="B30" s="102" t="s">
        <v>243</v>
      </c>
      <c r="C30" s="111">
        <f>(C29*0.79)+(D29*0.21)</f>
        <v>33.729999999999997</v>
      </c>
      <c r="D30" s="111"/>
    </row>
    <row r="31" spans="2:4">
      <c r="B31" s="102" t="s">
        <v>247</v>
      </c>
      <c r="C31" s="107">
        <f>C30/12</f>
        <v>2.8108333333333331</v>
      </c>
      <c r="D31" s="111"/>
    </row>
    <row r="33" spans="2:3">
      <c r="B33" s="101" t="s">
        <v>244</v>
      </c>
      <c r="C33" s="98">
        <v>2024</v>
      </c>
    </row>
    <row r="34" spans="2:3">
      <c r="B34" s="102" t="s">
        <v>245</v>
      </c>
      <c r="C34" s="109">
        <v>0.16589999999999999</v>
      </c>
    </row>
    <row r="35" spans="2:3">
      <c r="B35" s="102" t="s">
        <v>236</v>
      </c>
      <c r="C35" s="109">
        <v>0.09</v>
      </c>
    </row>
    <row r="36" spans="2:3">
      <c r="B36" s="102" t="s">
        <v>237</v>
      </c>
      <c r="C36" s="110">
        <v>0.13698630136986301</v>
      </c>
    </row>
    <row r="37" spans="2:3">
      <c r="B37" s="102" t="s">
        <v>238</v>
      </c>
      <c r="C37" s="110">
        <v>0.109</v>
      </c>
    </row>
    <row r="38" spans="2:3">
      <c r="B38" s="97" t="s">
        <v>239</v>
      </c>
      <c r="C38" s="110">
        <v>0.11</v>
      </c>
    </row>
    <row r="39" spans="2:3">
      <c r="B39" s="97" t="s">
        <v>240</v>
      </c>
      <c r="C39" s="110">
        <v>0.13</v>
      </c>
    </row>
    <row r="40" spans="2:3">
      <c r="B40" s="97" t="s">
        <v>241</v>
      </c>
      <c r="C40" s="110">
        <v>0.15060000000000001</v>
      </c>
    </row>
    <row r="41" spans="2:3">
      <c r="B41" s="97" t="s">
        <v>242</v>
      </c>
      <c r="C41" s="110">
        <v>0.15620000000000001</v>
      </c>
    </row>
    <row r="42" spans="2:3">
      <c r="B42" s="112" t="s">
        <v>246</v>
      </c>
      <c r="C42" s="108">
        <f>AVERAGE(C34:C41)</f>
        <v>0.13108578767123286</v>
      </c>
    </row>
    <row r="43" spans="2:3">
      <c r="B43" s="112"/>
      <c r="C43" s="108">
        <f>C42*365</f>
        <v>47.846312499999989</v>
      </c>
    </row>
    <row r="44" spans="2:3">
      <c r="B44" s="102" t="s">
        <v>247</v>
      </c>
      <c r="C44" s="113">
        <f>C42*365/12</f>
        <v>3.9871927083333323</v>
      </c>
    </row>
    <row r="46" spans="2:3">
      <c r="B46" s="104" t="s">
        <v>228</v>
      </c>
      <c r="C46" s="101"/>
    </row>
    <row r="47" spans="2:3">
      <c r="B47" s="103" t="s">
        <v>258</v>
      </c>
      <c r="C47" s="99">
        <v>453537943.75999999</v>
      </c>
    </row>
    <row r="48" spans="2:3">
      <c r="B48" s="103" t="s">
        <v>228</v>
      </c>
      <c r="C48" s="107">
        <f>C47/C51</f>
        <v>120.61637223220552</v>
      </c>
    </row>
    <row r="50" spans="2:3">
      <c r="B50" s="106" t="s">
        <v>229</v>
      </c>
      <c r="C50" s="97"/>
    </row>
    <row r="51" spans="2:3">
      <c r="B51" s="103" t="s">
        <v>230</v>
      </c>
      <c r="C51" s="105">
        <v>3760169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Výpočet</vt:lpstr>
      <vt:lpstr>výpočty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Andrea Gondová</dc:creator>
  <cp:lastModifiedBy>ProOne440</cp:lastModifiedBy>
  <cp:lastPrinted>2025-08-21T15:22:27Z</cp:lastPrinted>
  <dcterms:created xsi:type="dcterms:W3CDTF">2018-08-12T17:39:09Z</dcterms:created>
  <dcterms:modified xsi:type="dcterms:W3CDTF">2025-08-21T15:24:57Z</dcterms:modified>
</cp:coreProperties>
</file>