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peter\Documents\VF\"/>
    </mc:Choice>
  </mc:AlternateContent>
  <xr:revisionPtr revIDLastSave="0" documentId="8_{C798A23C-24F8-4A5B-9F12-6117B35D4D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ýpočet" sheetId="8" r:id="rId1"/>
    <sheet name="výpočty" sheetId="5" r:id="rId2"/>
    <sheet name="DPH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8" l="1"/>
  <c r="C30" i="8"/>
  <c r="C31" i="8"/>
  <c r="B182" i="8"/>
  <c r="C40" i="8" l="1"/>
  <c r="B186" i="8" l="1"/>
  <c r="B138" i="8"/>
  <c r="C15" i="5" l="1"/>
  <c r="D15" i="5"/>
  <c r="C29" i="5"/>
  <c r="D29" i="5"/>
  <c r="C30" i="5" s="1"/>
  <c r="C31" i="5" s="1"/>
  <c r="C42" i="5"/>
  <c r="C43" i="5" s="1"/>
  <c r="C48" i="5"/>
  <c r="C44" i="5" l="1"/>
  <c r="C16" i="5"/>
  <c r="B163" i="8" l="1"/>
  <c r="B141" i="8" s="1"/>
  <c r="B137" i="8"/>
  <c r="B139" i="8" s="1"/>
  <c r="B179" i="8" l="1"/>
  <c r="C37" i="8"/>
  <c r="B131" i="8"/>
  <c r="C20" i="8" s="1"/>
  <c r="D20" i="8" s="1"/>
  <c r="B114" i="8"/>
  <c r="B113" i="8"/>
  <c r="A15" i="8" s="1"/>
  <c r="D48" i="8"/>
  <c r="C48" i="8" s="1"/>
  <c r="D47" i="8"/>
  <c r="C47" i="8" s="1"/>
  <c r="D46" i="8"/>
  <c r="C46" i="8" s="1"/>
  <c r="D45" i="8"/>
  <c r="C45" i="8" s="1"/>
  <c r="D44" i="8"/>
  <c r="C44" i="8" s="1"/>
  <c r="D43" i="8"/>
  <c r="C43" i="8"/>
  <c r="C42" i="8"/>
  <c r="D42" i="8" s="1"/>
  <c r="A42" i="8"/>
  <c r="D41" i="8"/>
  <c r="A41" i="8"/>
  <c r="D40" i="8"/>
  <c r="C39" i="8"/>
  <c r="D39" i="8" s="1"/>
  <c r="D38" i="8"/>
  <c r="A37" i="8"/>
  <c r="A36" i="8"/>
  <c r="D35" i="8"/>
  <c r="A35" i="8"/>
  <c r="A34" i="8"/>
  <c r="A33" i="8"/>
  <c r="A32" i="8"/>
  <c r="D31" i="8"/>
  <c r="D30" i="8"/>
  <c r="A30" i="8"/>
  <c r="D29" i="8"/>
  <c r="A29" i="8"/>
  <c r="D27" i="8"/>
  <c r="D26" i="8"/>
  <c r="C24" i="8"/>
  <c r="D24" i="8" s="1"/>
  <c r="A24" i="8"/>
  <c r="C23" i="8"/>
  <c r="D23" i="8" s="1"/>
  <c r="D25" i="8" s="1"/>
  <c r="A23" i="8"/>
  <c r="D22" i="8"/>
  <c r="C22" i="8" s="1"/>
  <c r="D21" i="8"/>
  <c r="C19" i="8"/>
  <c r="D19" i="8" s="1"/>
  <c r="A19" i="8"/>
  <c r="D18" i="8"/>
  <c r="C18" i="8"/>
  <c r="A18" i="8"/>
  <c r="C17" i="8"/>
  <c r="D17" i="8" s="1"/>
  <c r="C16" i="8"/>
  <c r="D16" i="8" s="1"/>
  <c r="D15" i="8"/>
  <c r="C14" i="8"/>
  <c r="D14" i="8" s="1"/>
  <c r="D13" i="8"/>
  <c r="A13" i="8"/>
  <c r="D12" i="8"/>
  <c r="C72" i="8" s="1"/>
  <c r="A12" i="8"/>
  <c r="D11" i="8"/>
  <c r="A11" i="8"/>
  <c r="D10" i="8"/>
  <c r="A10" i="8"/>
  <c r="D9" i="8"/>
  <c r="A9" i="8"/>
  <c r="D8" i="8"/>
  <c r="A8" i="8"/>
  <c r="D7" i="8"/>
  <c r="A7" i="8"/>
  <c r="D6" i="8"/>
  <c r="D5" i="8"/>
  <c r="D4" i="8"/>
  <c r="G3" i="8"/>
  <c r="A3" i="8"/>
  <c r="D32" i="8" l="1"/>
  <c r="D37" i="8"/>
  <c r="C36" i="8"/>
  <c r="D36" i="8" s="1"/>
  <c r="E36" i="8" s="1"/>
  <c r="E26" i="8"/>
  <c r="E5" i="8"/>
  <c r="E7" i="8"/>
  <c r="E8" i="8"/>
  <c r="E10" i="8"/>
  <c r="E15" i="8"/>
  <c r="E16" i="8"/>
  <c r="E17" i="8"/>
  <c r="E19" i="8"/>
  <c r="E20" i="8"/>
  <c r="E24" i="8"/>
  <c r="E25" i="8"/>
  <c r="C25" i="8"/>
  <c r="C81" i="8"/>
  <c r="E14" i="8"/>
  <c r="E48" i="8"/>
  <c r="E47" i="8"/>
  <c r="E46" i="8"/>
  <c r="E45" i="8"/>
  <c r="E44" i="8"/>
  <c r="E43" i="8"/>
  <c r="A67" i="8"/>
  <c r="E41" i="8"/>
  <c r="E38" i="8"/>
  <c r="G4" i="8"/>
  <c r="G5" i="8" s="1"/>
  <c r="G6" i="8" s="1"/>
  <c r="G7" i="8" s="1"/>
  <c r="G8" i="8" s="1"/>
  <c r="G9" i="8" s="1"/>
  <c r="G10" i="8" s="1"/>
  <c r="G11" i="8" s="1"/>
  <c r="G12" i="8" s="1"/>
  <c r="G13" i="8" s="1"/>
  <c r="C6" i="8"/>
  <c r="C9" i="8"/>
  <c r="E9" i="8"/>
  <c r="C71" i="8"/>
  <c r="E23" i="8"/>
  <c r="E29" i="8"/>
  <c r="E30" i="8"/>
  <c r="E37" i="8"/>
  <c r="E39" i="8"/>
  <c r="C34" i="8"/>
  <c r="D34" i="8" s="1"/>
  <c r="E34" i="8" s="1"/>
  <c r="C33" i="8"/>
  <c r="D33" i="8" s="1"/>
  <c r="E33" i="8" s="1"/>
  <c r="C80" i="8"/>
  <c r="E6" i="8"/>
  <c r="C4" i="8"/>
  <c r="E4" i="8"/>
  <c r="C5" i="8"/>
  <c r="C7" i="8"/>
  <c r="C8" i="8"/>
  <c r="C10" i="8"/>
  <c r="C11" i="8"/>
  <c r="E11" i="8"/>
  <c r="C12" i="8"/>
  <c r="E12" i="8"/>
  <c r="D72" i="8" s="1"/>
  <c r="C13" i="8"/>
  <c r="E13" i="8"/>
  <c r="E18" i="8"/>
  <c r="E21" i="8"/>
  <c r="E22" i="8"/>
  <c r="C26" i="8"/>
  <c r="E27" i="8"/>
  <c r="C27" i="8"/>
  <c r="E31" i="8"/>
  <c r="E32" i="8"/>
  <c r="E35" i="8"/>
  <c r="E40" i="8"/>
  <c r="E42" i="8"/>
  <c r="D71" i="8" l="1"/>
  <c r="D80" i="8"/>
  <c r="G14" i="8"/>
  <c r="G15" i="8" s="1"/>
  <c r="G16" i="8" s="1"/>
  <c r="G17" i="8" s="1"/>
  <c r="G18" i="8" s="1"/>
  <c r="G19" i="8" s="1"/>
  <c r="G20" i="8" s="1"/>
  <c r="G21" i="8" s="1"/>
  <c r="G22" i="8" s="1"/>
  <c r="D81" i="8"/>
  <c r="G23" i="8" l="1"/>
  <c r="G24" i="8" s="1"/>
  <c r="G25" i="8" s="1"/>
  <c r="G26" i="8" s="1"/>
  <c r="G27" i="8" s="1"/>
  <c r="D28" i="8" l="1"/>
  <c r="E28" i="8" l="1"/>
  <c r="C28" i="8"/>
  <c r="C82" i="8"/>
  <c r="G28" i="8"/>
  <c r="G29" i="8" s="1"/>
  <c r="G30" i="8" s="1"/>
  <c r="G31" i="8" s="1"/>
  <c r="G32" i="8" s="1"/>
  <c r="G33" i="8" s="1"/>
  <c r="G34" i="8" s="1"/>
  <c r="G35" i="8" s="1"/>
  <c r="G36" i="8" s="1"/>
  <c r="G37" i="8" s="1"/>
  <c r="G38" i="8" s="1"/>
  <c r="G39" i="8" s="1"/>
  <c r="G40" i="8" s="1"/>
  <c r="G41" i="8" s="1"/>
  <c r="G42" i="8" s="1"/>
  <c r="G43" i="8" s="1"/>
  <c r="G44" i="8" s="1"/>
  <c r="G45" i="8" s="1"/>
  <c r="G46" i="8" s="1"/>
  <c r="G47" i="8" s="1"/>
  <c r="G48" i="8" s="1"/>
  <c r="D82" i="8" l="1"/>
  <c r="D57" i="8"/>
  <c r="D50" i="8"/>
  <c r="D58" i="8"/>
  <c r="D56" i="8"/>
  <c r="D55" i="8"/>
  <c r="D54" i="8"/>
  <c r="D53" i="8"/>
  <c r="D52" i="8"/>
  <c r="D51" i="8"/>
  <c r="D49" i="8"/>
  <c r="C83" i="8" l="1"/>
  <c r="C84" i="8" s="1"/>
  <c r="E49" i="8"/>
  <c r="C49" i="8"/>
  <c r="C70" i="8"/>
  <c r="D60" i="8"/>
  <c r="E51" i="8"/>
  <c r="C51" i="8"/>
  <c r="C73" i="8"/>
  <c r="E53" i="8"/>
  <c r="C53" i="8"/>
  <c r="E55" i="8"/>
  <c r="C55" i="8"/>
  <c r="E58" i="8"/>
  <c r="C58" i="8"/>
  <c r="E57" i="8"/>
  <c r="C57" i="8"/>
  <c r="G49" i="8"/>
  <c r="G50" i="8" s="1"/>
  <c r="G51" i="8" s="1"/>
  <c r="G52" i="8" s="1"/>
  <c r="G53" i="8" s="1"/>
  <c r="G54" i="8" s="1"/>
  <c r="G55" i="8" s="1"/>
  <c r="G56" i="8" s="1"/>
  <c r="G57" i="8" s="1"/>
  <c r="G58" i="8" s="1"/>
  <c r="E52" i="8"/>
  <c r="D74" i="8" s="1"/>
  <c r="C52" i="8"/>
  <c r="C74" i="8"/>
  <c r="E54" i="8"/>
  <c r="C54" i="8"/>
  <c r="E56" i="8"/>
  <c r="C56" i="8"/>
  <c r="E50" i="8"/>
  <c r="C50" i="8"/>
  <c r="D73" i="8" l="1"/>
  <c r="C75" i="8"/>
  <c r="D83" i="8"/>
  <c r="D70" i="8"/>
  <c r="D59" i="8"/>
  <c r="G59" i="8" s="1"/>
  <c r="E60" i="8"/>
  <c r="A1" i="8" s="1"/>
  <c r="D61" i="8" l="1"/>
  <c r="E59" i="8"/>
  <c r="E61" i="8" s="1"/>
  <c r="D75" i="8"/>
  <c r="E70" i="8" s="1"/>
  <c r="D84" i="8"/>
  <c r="E83" i="8" s="1"/>
  <c r="E80" i="8" l="1"/>
  <c r="E81" i="8"/>
  <c r="E82" i="8"/>
  <c r="E72" i="8"/>
  <c r="E71" i="8"/>
  <c r="E73" i="8"/>
  <c r="E74" i="8"/>
  <c r="E75" i="8" l="1"/>
  <c r="E84" i="8"/>
</calcChain>
</file>

<file path=xl/sharedStrings.xml><?xml version="1.0" encoding="utf-8"?>
<sst xmlns="http://schemas.openxmlformats.org/spreadsheetml/2006/main" count="502" uniqueCount="337">
  <si>
    <t>Mesačné daňové výdavky občana SR v EUR</t>
  </si>
  <si>
    <t>ekon. charakt. dane</t>
  </si>
  <si>
    <t>efekt. sadzba zdanenia</t>
  </si>
  <si>
    <t>úbytok     peňazí</t>
  </si>
  <si>
    <t>podiel na   mzde</t>
  </si>
  <si>
    <t>príjemca dane</t>
  </si>
  <si>
    <t>zostatok  peňazí</t>
  </si>
  <si>
    <t>Komentáre</t>
  </si>
  <si>
    <t>Príspevok zamestnávateľa na stravovanie</t>
  </si>
  <si>
    <t>príjmová</t>
  </si>
  <si>
    <t>súkr. spol.</t>
  </si>
  <si>
    <t>Odvody do Sociálnej poisťovne</t>
  </si>
  <si>
    <t>štát</t>
  </si>
  <si>
    <r>
      <rPr>
        <u/>
        <sz val="11"/>
        <color indexed="13"/>
        <rFont val="Calibri"/>
        <family val="2"/>
      </rPr>
      <t>http://www.poistovne.sk/30241-sk/ake-poplatky-vas-pri-dochodkovom-sporeni-v-2-pilieri-cakaju.php</t>
    </r>
  </si>
  <si>
    <t>VÚC</t>
  </si>
  <si>
    <t>obec</t>
  </si>
  <si>
    <t>majetková</t>
  </si>
  <si>
    <t>Daň za psa (400 tis. psov)</t>
  </si>
  <si>
    <t>https://www.finance.sk/178572-dan-za-psa/</t>
  </si>
  <si>
    <t>Koncesionársky poplatok (RTVS)</t>
  </si>
  <si>
    <t>Pokuty, penále, sankcie</t>
  </si>
  <si>
    <t>spotrebná</t>
  </si>
  <si>
    <t>Súdne a správne poplatky</t>
  </si>
  <si>
    <t>Odvod poisťovní</t>
  </si>
  <si>
    <t>Bankový odvod</t>
  </si>
  <si>
    <t>Odvod lotérií a hazardných hier (26% zo zisku)</t>
  </si>
  <si>
    <t>Slovenská pošta, a.s. (kompenzácia na univerzálnu službu)</t>
  </si>
  <si>
    <t>Daň z pridanej hodnoty</t>
  </si>
  <si>
    <t>https://www.slovensko.sk/sk/agendy/agenda/_spotrebna-dan-z-alkoholickych</t>
  </si>
  <si>
    <t>https://www.slovensko.sk/sk/agendy/agenda/_spotrebna-dan-z-tabakovych-vyr</t>
  </si>
  <si>
    <t>https://www.financnasprava.sk/sk/obcania/dane/spotrebne-dane/spotrebne-dane-obcania-ele#SadzbaSDElektrinaUhlieZemnyPlyn</t>
  </si>
  <si>
    <t>Spotrebná daň z minerálnych olejov (15 000 km/ročne/6.5l/100km = 975 litrov/rok)</t>
  </si>
  <si>
    <t>Poplatky za distribúciu ropy (975 litrov/rok)</t>
  </si>
  <si>
    <t>ponechaný starý údaj, aktuálnejší nenájdený</t>
  </si>
  <si>
    <t>Vodné a stočné (priemerná spotreba 110 m3/3 os.domácn./rok)</t>
  </si>
  <si>
    <t>https://www.zsvs.sk/informacie/cena-za-vodne-a-stocne/</t>
  </si>
  <si>
    <t>náhrada poplatku do Recyklačného fondu - závisí od typu auta</t>
  </si>
  <si>
    <t>STK, emisná kontrola (1x za 2 roky)</t>
  </si>
  <si>
    <t>https://www.stkonline.sk/bratislava/</t>
  </si>
  <si>
    <t>Diaľničná nálepka (ročná, os. automobil)</t>
  </si>
  <si>
    <t>Parkovné v mestách (50%)</t>
  </si>
  <si>
    <t>ponechané, nenájdený zdroj, na základe údajov z BA, KE, TT približne môže sedieť</t>
  </si>
  <si>
    <t>to isté ako 42</t>
  </si>
  <si>
    <t>Poplatky obecným príspevkovým organizáciám</t>
  </si>
  <si>
    <t>Cestovné lístky MHD</t>
  </si>
  <si>
    <t>tržby dopravných podnikov z cestovného (BA - 42,6, ZI - 9,4, KE - 11,56) --&gt; odhad za všetky mestá 200mil.EUR, v BA 55% je vo verejnom záujme --&gt; odhad 110 mil.EUR</t>
  </si>
  <si>
    <t>Poplatky ŽSR za prístup k železničnej infraštruktúre</t>
  </si>
  <si>
    <t>Daň z motorových vozidiel</t>
  </si>
  <si>
    <t>podnikat.</t>
  </si>
  <si>
    <t>https://www.podnikajte.sk/dane-a-uctovnictvo/c/1804/category/dan-z-motorovych-vozidiel/article/dan-motorove-vozidla-2015.xhtml
Od 2015 už to je príjem štátu, nie VÚC</t>
  </si>
  <si>
    <t>Elektronický výber mýta (55%)</t>
  </si>
  <si>
    <t>Elektronický výber mýta (45%)</t>
  </si>
  <si>
    <t>Clo (75%)</t>
  </si>
  <si>
    <t>EÚ</t>
  </si>
  <si>
    <t>Clo (25%)</t>
  </si>
  <si>
    <t>Daň z príjmov právnických osôb + daň z príjmov samostatne zárobkovo činných osôb</t>
  </si>
  <si>
    <t>Odvody do sociálnej poisťovne za samostatne zárobkovo činné osoby</t>
  </si>
  <si>
    <t>http://statdat.statistics.sk/cognosext/cgi-bin/cognos.cgi?b_action=cognosViewer&amp;ui.action=run&amp;ui.object=storeID(%22iC47DE059516A434A9A7F9DC5ED37071C%22)&amp;ui.name=Povinn%C3%A9%20soci%C3%A1lne%20poistenie%20-%20pr%C3%ADjmy%20a%20v%C3%BDdavky%20-%20medziro%C4%8Dn%C3%A9%20porovnanie%20%5bso1003qs%5d&amp;run.outputFormat=&amp;run.prompt=true&amp;cv.header=false&amp;ui.backURL=%2fcognosext%2fcps4%2fportlets%2fcommon%2fclose.html&amp;run.outputLocale=sk</t>
  </si>
  <si>
    <t>Zaplatené dane</t>
  </si>
  <si>
    <t>Spolu</t>
  </si>
  <si>
    <t>Roman Scherhaufer   © 2013      European Investment Centre       www.eic.eu           Konzervatívny inštitút M. R. Štefánika             www.konzervativizmus.sk</t>
  </si>
  <si>
    <t>Komu a koľko na daniach mesačne platíme:</t>
  </si>
  <si>
    <t>v EUR</t>
  </si>
  <si>
    <t>% zo mzdy</t>
  </si>
  <si>
    <t>% z daní</t>
  </si>
  <si>
    <t>štátu</t>
  </si>
  <si>
    <t>súkrom. spol.</t>
  </si>
  <si>
    <t>spolu</t>
  </si>
  <si>
    <t>Čo a v akej výške štát mesačne zdaňuje:</t>
  </si>
  <si>
    <t>príjem</t>
  </si>
  <si>
    <t>majetok</t>
  </si>
  <si>
    <t>spotrebu</t>
  </si>
  <si>
    <t>podnikanie</t>
  </si>
  <si>
    <t xml:space="preserve">    Roman Scherhaufer   © 2013</t>
  </si>
  <si>
    <t xml:space="preserve">    European Investment Centre       www.eic.eu</t>
  </si>
  <si>
    <t>Konzervatívny inštitút M. R. Štefánika   www.konzervativizmus.sk</t>
  </si>
  <si>
    <t>Priemerná mzda</t>
  </si>
  <si>
    <t>http://statdat.statistics.sk/cognosext/cgi-bin/cognos.cgi?b_action=cognosViewer&amp;ui.action=run&amp;ui.object=storeID(%22i94C7052B240A492FB3BE8C7A487D337B%22)&amp;ui.name=Priemern%C3%A1%20mesa%C4%8Dn%C3%A1%20mzda%20v%20hospod%C3%A1rstve%20SR%20%5Bpr0204qs%5D&amp;run.outputFormat=&amp;run.prompt=true&amp;cv.header=false&amp;ui.backURL=%2Fcognosext%2Fcps4%2Fportlets%2Fcommon%2Fclose.html&amp;run.outputLocale=sk</t>
  </si>
  <si>
    <t>Odvody zamestnávateľa</t>
  </si>
  <si>
    <t>Príspevok na stravné</t>
  </si>
  <si>
    <t>Odvod zamestnávateľa do Soc.poisť.</t>
  </si>
  <si>
    <t>Odvod zamestnanca do Soc.poisť.</t>
  </si>
  <si>
    <t>Časť odvodov prúdiaca do súkromných DSS</t>
  </si>
  <si>
    <t>Poplatok za správu fondu a vedenie účtu DSS</t>
  </si>
  <si>
    <t>Odvod zamestnávateľa do Zdrav.poisť.</t>
  </si>
  <si>
    <t>Odvod zamestnanca do Zdrav.poisť.</t>
  </si>
  <si>
    <t>Časť zdravotných odvodov, ktorú si necháva Zdrav.poisť.</t>
  </si>
  <si>
    <t>Výnos z dane z príjmu FO</t>
  </si>
  <si>
    <t>Počet pracujúcich spolu</t>
  </si>
  <si>
    <t>Podieľ na dani z príjmu FO - štát</t>
  </si>
  <si>
    <t>Podieľ na dani z príjmu FO - VÚC</t>
  </si>
  <si>
    <t>Podieľ na dani z príjmu FO - obec</t>
  </si>
  <si>
    <t>Ekonomicky aktívne obyvateľstvo</t>
  </si>
  <si>
    <t>Nezamestnaní</t>
  </si>
  <si>
    <t>Poberatelia dôchodkov</t>
  </si>
  <si>
    <t>Počet bytov</t>
  </si>
  <si>
    <t>Počet rodinných domov</t>
  </si>
  <si>
    <t>Priemerná plocha bytu</t>
  </si>
  <si>
    <t>Priemerná plocha domu</t>
  </si>
  <si>
    <t>Priemerná sadzba dane - byt</t>
  </si>
  <si>
    <t>Priemerná sadzba dane - dom</t>
  </si>
  <si>
    <t>Počet obyvateľov</t>
  </si>
  <si>
    <t>Daň za psa</t>
  </si>
  <si>
    <t>Daň z príjmov vyberaná zrážkou</t>
  </si>
  <si>
    <t>Úspory obyvateľstva</t>
  </si>
  <si>
    <t>https://www.minv.sk/?celkovy-pocet-evidovanych-vozidiel-v-sr</t>
  </si>
  <si>
    <t>Počet nových automobilov</t>
  </si>
  <si>
    <t>Počet dovezených automobilov</t>
  </si>
  <si>
    <t>Počet automobilov, ktoré zmenili vlastníka</t>
  </si>
  <si>
    <t>Podieľ osobných automobilov</t>
  </si>
  <si>
    <t>Registračná daň za automobil (v EUR)</t>
  </si>
  <si>
    <t>Registrácia zmeny majiteľa vozidla (v EUR)</t>
  </si>
  <si>
    <t>Odvod z lotérií a hazardných hier</t>
  </si>
  <si>
    <t>Spotreba elektriny</t>
  </si>
  <si>
    <t>Cena za distribúciu elektriny - fixný</t>
  </si>
  <si>
    <t>Cena za distribúciu elektriny - variabilný</t>
  </si>
  <si>
    <t>Cena za distribúciu plynu - fixný</t>
  </si>
  <si>
    <t>Cena za distribúciu plynu - variabilný (MWh)</t>
  </si>
  <si>
    <t>Ročná spotreba minerálnych olejov (litrov / rok)</t>
  </si>
  <si>
    <t>Priemerná spotreba vody v m3/3 os.domácnosť./rok</t>
  </si>
  <si>
    <t>Výnosy z predaja diaľničných nálepok</t>
  </si>
  <si>
    <t>Prevádzkovanie železničnej infraštruktúry</t>
  </si>
  <si>
    <t>Produkcia - HDP</t>
  </si>
  <si>
    <t>Výdavky verejnej správy</t>
  </si>
  <si>
    <t>Výnosy z dane z motorových vozidiel</t>
  </si>
  <si>
    <t>Výnosy z elektronického výberu mýta</t>
  </si>
  <si>
    <t>Náklady na elektronický výber mýta</t>
  </si>
  <si>
    <t>https://www.finstat.sk/35919001/zavierka</t>
  </si>
  <si>
    <t>Podieľ tuzemských prepravcov na el.výbere mýta</t>
  </si>
  <si>
    <t>Daň z príjmov právnických osôb</t>
  </si>
  <si>
    <t>Daň z príjmov SZČO</t>
  </si>
  <si>
    <t>Odvody do sociálnej poisťovňe za SZČO</t>
  </si>
  <si>
    <t>Odvody do zdravotnej poisťovne za SZČO</t>
  </si>
  <si>
    <t>Pokuty, penále, sankcie (ŠR)</t>
  </si>
  <si>
    <t>Pokuty z daňovej kontroly</t>
  </si>
  <si>
    <t>Pokuty vyrúbené štátnym dozorom</t>
  </si>
  <si>
    <t>Pokuty ŠOI</t>
  </si>
  <si>
    <t>Pokuty tel.úrad</t>
  </si>
  <si>
    <t>Administratívne poplaky</t>
  </si>
  <si>
    <t>Spotreba plynu v MWh</t>
  </si>
  <si>
    <t>Príjmy Marianum</t>
  </si>
  <si>
    <t>Príjmy ZOO BA</t>
  </si>
  <si>
    <t>Príjmy GMB</t>
  </si>
  <si>
    <t xml:space="preserve">Tržby DPB </t>
  </si>
  <si>
    <t>Tržby DPKE</t>
  </si>
  <si>
    <t>https://www.finstat.sk/31701914</t>
  </si>
  <si>
    <t>Tržby DPZI</t>
  </si>
  <si>
    <t>Tržby DPBB</t>
  </si>
  <si>
    <t>Tržby ostatné DP (odhad)</t>
  </si>
  <si>
    <t>Výber cla</t>
  </si>
  <si>
    <t>Pokuty, penále a iné sankcie (nedaňové príjmy ŠR a transfery)</t>
  </si>
  <si>
    <t>Sadzba DPH</t>
  </si>
  <si>
    <t>Priemerná spotreba piva v litroch na rok</t>
  </si>
  <si>
    <t>Priemerná spotreba liehu v litroch na rok</t>
  </si>
  <si>
    <t>Priemerná spotreba cigariet ks na rok</t>
  </si>
  <si>
    <t>Zostatok peňazí</t>
  </si>
  <si>
    <t>Výška príspevku na stravovanie</t>
  </si>
  <si>
    <t>http://statdat.statistics.sk/cognosext/cgi-bin/cognos.cgi?b_action=cognosViewer&amp;ui.action=run&amp;ui.object=storeID%28%22i362DCE4D88EC4E13A9EE8526B286D18B%22%29&amp;ui.name=Po%C4%8Det%20obyvate%C4%BEov%20pod%C4%BEa%20pohlavia%20-%20SR%2C%20oblasti%2C%20kraje%2C%20okresy%2C%20mesto%2C%20vidiek%20%28ro%C4%8Dne%29%20%5Bom7102rr%5D&amp;run.outputFormat=&amp;run.prompt=true&amp;cv.header=false&amp;ui.backURL=%2Fcognosext%2Fcps4%2Fportlets%2Fcommon%2Fclose.html&amp;run.outputLocale=sk</t>
  </si>
  <si>
    <t>https://eznamka.sk/selfcare/purchase/?sessionexpired=False&amp;frompayment=False&amp;sessionExpired=false&amp;frompayment=false&amp;screenWidth=1920&amp;agent=mozilla%2F5.0+(windows+nt+10.0%3B+win64%3B+x64)+applewebkit%2F537.36+(khtml%2C+like+gecko)+chrome%2F75.0.3770.100+safari%2F537.36</t>
  </si>
  <si>
    <t>https://www.finstat.sk/00492736/zavierka</t>
  </si>
  <si>
    <t>https://www.finstat.sk/36007099</t>
  </si>
  <si>
    <t>https://www.finstat.sk/36016411</t>
  </si>
  <si>
    <t>https://www.finance.gov.sk/sk/financie/statne-vykaznictvo/statny-zaverecny-ucet-sr/</t>
  </si>
  <si>
    <t>https://www.finstat.sk/00179710</t>
  </si>
  <si>
    <t>https://finstat.sk/17330190</t>
  </si>
  <si>
    <t>https://www.geotherm.sk/usetrit-za-vodu/</t>
  </si>
  <si>
    <t>https://www.minv.sk/?pocet-novoevidovanych-vozidiel</t>
  </si>
  <si>
    <t>https://www.minv.sk/?pocet-individualne-dovezenych-vozidiel</t>
  </si>
  <si>
    <t>https://www.minv.sk/?pocet-zmien-drzby-vozidiel</t>
  </si>
  <si>
    <t>https://www.financnasprava.sk/_img/pfsedit/Dokumenty_PFS/Zverejnovanie_dok/Sprievodca/Sprievodca_danami/2018/2018.01.12_SPRIEVODCA%20DANAMI_%20DPH.pdf</t>
  </si>
  <si>
    <t>http://www.epi.sk/zz/2004-98#p5</t>
  </si>
  <si>
    <t>http://www.svetdopravy.sk/moznost-podpory-refundacie-spotrebnej-dane-z-mineralnych-olejov-na-uzemi-slovenskej-republiky/</t>
  </si>
  <si>
    <t>https://www.spp.sk/sk/domacnosti/elektrina/ceny/cenniky-elektrickej-energie/</t>
  </si>
  <si>
    <t>https://www.nbs.sk/sk/statisticke-udaje/financne-institucie/banky/statisticke-udaje-penaznych-financnych-institucii</t>
  </si>
  <si>
    <t>Daňová sadzba (daň z príjmov)</t>
  </si>
  <si>
    <t>Počet pracovných dní (fond pracovného času)</t>
  </si>
  <si>
    <t>https://www.slov-lex.sk/pravne-predpisy/SK/ZZ/2004/580/</t>
  </si>
  <si>
    <t>kalkulačka</t>
  </si>
  <si>
    <t>https://www.nbs.sk/sk/statisticke-udaje/financne-institucie/banky/statisticke-udaje-penaznych-financnych-institucii/vklady</t>
  </si>
  <si>
    <t>http://statdat.statistics.sk/cognosext/cgi-bin/cognos.cgi?b_action=cognosViewer&amp;ui.action=run&amp;ui.object=storeID(%22i42A8A014A687495596DC929810349606%22)&amp;ui.name=Pracuj%C3%BAci%20pod%C4%BEa%20veku%20%5Bpr3115qr%5D&amp;run.outputFormat=&amp;run.prompt=true&amp;cv.header=false&amp;ui.backURL=%2Fcognosext%2Fcps4%2Fportlets%2Fcommon%2Fclose.html&amp;run.outputLocale=sk</t>
  </si>
  <si>
    <t>Tržby ARRIVA NITRA a.s.</t>
  </si>
  <si>
    <t>https://finstat.sk/36545082</t>
  </si>
  <si>
    <t>https://www.nielsen.com/sk/sk/insights/article/2019/slovaks-smoke-from-year-to-year-more/</t>
  </si>
  <si>
    <t>https://www.vszp.sk/files/Vyr_spr/vyrocna-sprava-za-rok-2019.pdf</t>
  </si>
  <si>
    <t>Daň z poistenia</t>
  </si>
  <si>
    <t>položka</t>
  </si>
  <si>
    <t>https://www.sepsas.sk/Dokumenty/RocenkySed/ROCENKA_SED_2018.pdf</t>
  </si>
  <si>
    <t>zdroj_1</t>
  </si>
  <si>
    <t xml:space="preserve">Pošta - Predbežné čisté náklady univerzálnej služby </t>
  </si>
  <si>
    <t>https://www.financnasprava.sk//_img/pfsedit/Dokumenty_PFS/Zverejnovanie_dok/Statistiky/Statny_rozpocet/2019/2020.01.08_PrijmySR_2019_12.pdf</t>
  </si>
  <si>
    <t>Priemer PZP (v EUR)</t>
  </si>
  <si>
    <t>Ďialničná nálepka (v EUR)</t>
  </si>
  <si>
    <t>STK + Emisná kontrola (v EUR)</t>
  </si>
  <si>
    <t>Kontrola originality (v EUR)</t>
  </si>
  <si>
    <t>Koncesionársky poplatok (v EUR)</t>
  </si>
  <si>
    <t>Spotrebná daň z tabaku (priemerná spotreba 1290 ks/rok)</t>
  </si>
  <si>
    <t>Sadzba odvodu reťazcov</t>
  </si>
  <si>
    <t>https://www.slov-lex.sk/pravne-predpisy/SK/ZZ/2018/385/20190101.html</t>
  </si>
  <si>
    <t>Rekreačné poukazy</t>
  </si>
  <si>
    <t>Nezdaniteľná časť základu dane</t>
  </si>
  <si>
    <t>https://www.tpdcontrol.sk/cennik.html</t>
  </si>
  <si>
    <t>Príspevok zamestnávateľa na rekreáciu</t>
  </si>
  <si>
    <t>obciam</t>
  </si>
  <si>
    <t>Spotrebná daň z piva, (v mil. Eur), hotovostný princíp</t>
  </si>
  <si>
    <t>Spotrebná daň z liehu (v mil. Eur), hotovostný princíp</t>
  </si>
  <si>
    <t>Spotrebná daň z tabaku (v mil. Eur), hotovostný princíp</t>
  </si>
  <si>
    <t>Spotrebná daň z elektriny (v mil. Eur), hotovostný princíp</t>
  </si>
  <si>
    <t>Spotrebná daň zo zemného plynu (v mil. Eur), hotovostný princíp</t>
  </si>
  <si>
    <t>Spotrebná daň z minerálneho oleja (v mil. Eur), hotovostný princíp</t>
  </si>
  <si>
    <t>Daň z motorových vozidiel (v mil. Eur), hotovostný princíp</t>
  </si>
  <si>
    <t>https://www.slov-lex.sk/pravne-predpisy/SK/ZZ/2001/311/20200730.html</t>
  </si>
  <si>
    <t>https://www.mfsr.sk/sk/financie/statne-vykaznictvo/klucove-dokumenty-uctovne-zavierky/statny-zaverecny-ucet-sr/</t>
  </si>
  <si>
    <t>http://datacube.statistics.sk/#!/view/sk/VBD_SK_WIN/nu1024rs/v_nu1024rs_00_00_00_sk</t>
  </si>
  <si>
    <t>https://www.slaspo.sk/27722</t>
  </si>
  <si>
    <t>https://www.minv.sk/?zmena-vlastnictva-vozidla</t>
  </si>
  <si>
    <t>https://www.stkpezinok.sk/cennik-sluzieb-stk-pezinok</t>
  </si>
  <si>
    <t>https://www.teleoff.gov.sk/data/files/49811_vestnik7.pdf</t>
  </si>
  <si>
    <t>https://www.slov-lex.sk/pravne-predpisy/SK/ZZ/2008/68/20120901.html</t>
  </si>
  <si>
    <t>https://www.spp.sk/sk/domacnosti/elektrina/dokumenty-a-tlaciva-na-stiahnutie/</t>
  </si>
  <si>
    <t>https://www.spp.sk/sk/domacnosti/plyn/tarify-a-ceny/</t>
  </si>
  <si>
    <t>http://datacube.statistics.sk/#!/view/sk/VBD_INTERN/nu0008rs/v_nu0008rs_00_00_00_sk</t>
  </si>
  <si>
    <t>https://www.registeruz.sk/cruz-public/domain/accountingentity/show/231264#</t>
  </si>
  <si>
    <t>http://datacube.statistics.sk/#!/view/sk/VBD_SLOVSTAT/ps2041rs/v_ps2041rs_00_00_00_sk</t>
  </si>
  <si>
    <t>https://www.slov-lex.sk/pravne-predpisy/SK/ZZ/2003/595/20200101.html#paragraf-11</t>
  </si>
  <si>
    <t>8% podiel štátu na výnosoch z PZP je započítaný v rámci ostatných platieb podnikateľského sektora</t>
  </si>
  <si>
    <t>Celkový počet registrovaných vozidiel</t>
  </si>
  <si>
    <t>Priemerné PZP</t>
  </si>
  <si>
    <t>Počet evidovaných vozidiel spolu</t>
  </si>
  <si>
    <t>miestne dane a poplatky</t>
  </si>
  <si>
    <t>byty</t>
  </si>
  <si>
    <t>rodinné domy</t>
  </si>
  <si>
    <t>sadzba dane z nehnuteľností</t>
  </si>
  <si>
    <t>Bratislava (Ružinov)</t>
  </si>
  <si>
    <t>Trnava</t>
  </si>
  <si>
    <t>Nitra</t>
  </si>
  <si>
    <t>Trenčín</t>
  </si>
  <si>
    <t>Žilina</t>
  </si>
  <si>
    <t>Banská Bystrica</t>
  </si>
  <si>
    <t>Prešov</t>
  </si>
  <si>
    <t>Košice</t>
  </si>
  <si>
    <t>priemerná sadzba dane ročná</t>
  </si>
  <si>
    <t>poplatok za komunálny odpad</t>
  </si>
  <si>
    <t>Bratislava</t>
  </si>
  <si>
    <t>priemerná sadzba dane denná</t>
  </si>
  <si>
    <t>priemerná sadzba dane mesačná</t>
  </si>
  <si>
    <t>sadzba dane za psa</t>
  </si>
  <si>
    <t>https://calendar.zoznam.sk/worktime-sksk.php?hy=2021</t>
  </si>
  <si>
    <t>https://www.slov-lex.sk/pravne-predpisy/SK/ZZ/2003/461/20210101.html</t>
  </si>
  <si>
    <t>https://www.slov-lex.sk/pravne-predpisy/SK/ZZ/2004/43/20210101.html</t>
  </si>
  <si>
    <t>https://www.slov-lex.sk/pravne-predpisy/SK/ZZ/2003/595/20210101.html</t>
  </si>
  <si>
    <t>https://www.slov-lex.sk/pravne-predpisy/SK/ZZ/2004/564/20210101.html</t>
  </si>
  <si>
    <t>https://www.slov-lex.sk/pravne-predpisy/SK/ZZ/2001/311/20210101.html</t>
  </si>
  <si>
    <t>Daň z nehnuteľností (79% priemerný byt 71,5 m2 + 21% priemerný rodinný dom 120 m2)/m2/rok</t>
  </si>
  <si>
    <t>https://www.zssk.sk/wp-content/uploads/2021/10/Uctovna-zavierka-2020.pdf</t>
  </si>
  <si>
    <t>Predpísané poistné podľa LOB z výkazu S.05.01., Gross direct</t>
  </si>
  <si>
    <t>https://datacube.statistics.sk/#!/view/sk/VBD_SLOVSTAT/ps2041rs/v_ps2041rs_00_00_00_sk</t>
  </si>
  <si>
    <t>https://datacube.statistics.sk/#!/view/sk/VBD_SLOVSTAT/st2001rs/v_st2001rs_00_00_00_sk</t>
  </si>
  <si>
    <t>https://www.slaspo.sk/30778</t>
  </si>
  <si>
    <t>https://www.minv.sk/?spravne-poplatky-1</t>
  </si>
  <si>
    <t>https://www.socpoist.sk/socialne-poistenie/o-socialnej-poistovni/povinne-zverejnovanie/hospodarenie-socialnej-poistovne</t>
  </si>
  <si>
    <t>Tržby DP Trenčín</t>
  </si>
  <si>
    <t>Ostatné poplatky a platby podnik. Sektora</t>
  </si>
  <si>
    <t>https://www.slov-lex.sk/pravne-predpisy/SK/ZZ/2004/43/20230101.html</t>
  </si>
  <si>
    <t>https://www.financnasprava.sk//_img/pfsedit/Dokumenty_PFS/Zverejnovanie_dok/Statistiky/Statny_rozpocet/2023/2024.01.03_prijmy_SR_2023_12.pdf</t>
  </si>
  <si>
    <t>https://cdn-api.bratislava.sk/strapi-homepage/upload/Zaverecny_ucet_hlavneho_mesta_SR_Bratislavy_za_rok_2023_2371a2dabb.pdf</t>
  </si>
  <si>
    <t>Výnos z dane z príjmu FO ESA2010</t>
  </si>
  <si>
    <t>Výdavky verejnej správy ESA2010</t>
  </si>
  <si>
    <t>Osobitne odvody (banky, poistovne, regulovane odv.) ESA2010</t>
  </si>
  <si>
    <t>Odvody do zdravotnej poistovne za samostatne zárobkovo činné osoby (0.99)</t>
  </si>
  <si>
    <t>Odvody do zdravotnej poistovne za samostatne zárobkovo činné osoby (0.01)</t>
  </si>
  <si>
    <t>Daň z príjmov právnických osôb, (v mil. Eur), ESA2010</t>
  </si>
  <si>
    <t>Daň z finančných transakcií, ESA2010</t>
  </si>
  <si>
    <t>Sladené nealko nápoje, ESA2010</t>
  </si>
  <si>
    <t>https://www.teleoff.gov.sk/files/urad/vyrocne-spravy-vestniky/vyrocne-spravy/vyrocna-sprava-2025.pdf</t>
  </si>
  <si>
    <t>https://www.soi.sk/files/documents/kcinnost/2025/vs-2025.pdf</t>
  </si>
  <si>
    <t>Fixná zložka ceny vodného od 22.10.2025</t>
  </si>
  <si>
    <t>T2 od DN 30 (vrátane) 18,00 € 22,14 €</t>
  </si>
  <si>
    <t>Celkom (odhad)</t>
  </si>
  <si>
    <t>Osobitne odvody (banky, poistovne, regulovane odv.) + trans.daň</t>
  </si>
  <si>
    <t xml:space="preserve">Váhy zostávajú odvodené zo spotrebného koša Štatistického úradu na rok 2025, ktorý obsahuje 12 odborov, 44 skupín a 101 tried COICOP. </t>
  </si>
  <si>
    <t>Skupina spotreby</t>
  </si>
  <si>
    <t>Váha v celom koši</t>
  </si>
  <si>
    <t>Odhad podielu zdaniteľnej spotreby</t>
  </si>
  <si>
    <t>Odhad priemernej sadzby na zdaniteľnú časť</t>
  </si>
  <si>
    <t>Vážený príspevok</t>
  </si>
  <si>
    <t>Potraviny a nealkoholické nápoje</t>
  </si>
  <si>
    <t>21,2 %</t>
  </si>
  <si>
    <t>15,0 %</t>
  </si>
  <si>
    <t>3,18</t>
  </si>
  <si>
    <t>Bývanie, voda, elektrina, plyn a palivá</t>
  </si>
  <si>
    <t>23,3 %</t>
  </si>
  <si>
    <t>21,0 %</t>
  </si>
  <si>
    <t>2,20</t>
  </si>
  <si>
    <t>Rekreácia a kultúra</t>
  </si>
  <si>
    <t>8,3 %</t>
  </si>
  <si>
    <t>22,0 %</t>
  </si>
  <si>
    <t>1,64</t>
  </si>
  <si>
    <t>Rozličné tovary a služby</t>
  </si>
  <si>
    <t>7,8 %</t>
  </si>
  <si>
    <t>1,29</t>
  </si>
  <si>
    <t>Reštaurácie a hotely</t>
  </si>
  <si>
    <t>7,5 %</t>
  </si>
  <si>
    <t>11,0 %</t>
  </si>
  <si>
    <t>0,83</t>
  </si>
  <si>
    <t>Doprava</t>
  </si>
  <si>
    <t>7,1 %</t>
  </si>
  <si>
    <t>1,48</t>
  </si>
  <si>
    <t>Nábytok a vybavenie domácnosti</t>
  </si>
  <si>
    <t>7,0 %</t>
  </si>
  <si>
    <t>23,0 %</t>
  </si>
  <si>
    <t>1,61</t>
  </si>
  <si>
    <t>Odevy a obuv</t>
  </si>
  <si>
    <t>4,7 %</t>
  </si>
  <si>
    <t>1,08</t>
  </si>
  <si>
    <t>Zdravotníctvo</t>
  </si>
  <si>
    <t>10,0 %</t>
  </si>
  <si>
    <t>0,21</t>
  </si>
  <si>
    <t>Alkoholické nápoje a tabak</t>
  </si>
  <si>
    <t>4,1 %</t>
  </si>
  <si>
    <t>0,94</t>
  </si>
  <si>
    <t>Pošty a spoje</t>
  </si>
  <si>
    <t>2,8 %</t>
  </si>
  <si>
    <t>0,61</t>
  </si>
  <si>
    <t>Vzdelávanie</t>
  </si>
  <si>
    <t>1,5 %</t>
  </si>
  <si>
    <t>19,0 %</t>
  </si>
  <si>
    <t>0,04</t>
  </si>
  <si>
    <t>približne 80 % koša</t>
  </si>
  <si>
    <t>15,11</t>
  </si>
  <si>
    <t>Súčet zdaniteľnej časti koša je približne:</t>
  </si>
  <si>
    <t>80,0580{,}0580,05</t>
  </si>
  <si>
    <t>Vážený súčet sadzieb:</t>
  </si>
  <si>
    <t>15,1115{,}1115,11</t>
  </si>
  <si>
    <t>Preto:</t>
  </si>
  <si>
    <t>15,1180,05=18,88%\frac{15{,}11}{80{,}05} = 18{,}88\%80,0515,11​=18,88%</t>
  </si>
  <si>
    <t>Opravený výsledok</t>
  </si>
  <si>
    <t>Priemerná vážená sadzba DPH na zdaniteľnú spotrebu domácností k 31. 12. 2025 vychádza orientačne na 18,9 %.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</si>
</sst>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0.0000"/>
    <numFmt numFmtId="167" formatCode="0.00000"/>
    <numFmt numFmtId="168" formatCode="&quot; &quot;* #,##0&quot;   &quot;;&quot;-&quot;* #,##0&quot;   &quot;;&quot; &quot;* &quot;-&quot;??&quot;   &quot;"/>
    <numFmt numFmtId="169" formatCode="0.0%"/>
    <numFmt numFmtId="170" formatCode="&quot; &quot;* #,##0.00&quot;   &quot;;&quot;-&quot;* #,##0.00&quot;   &quot;;&quot; &quot;* &quot;-&quot;??&quot;   &quot;"/>
    <numFmt numFmtId="171" formatCode="&quot; &quot;* #,##0.0&quot;   &quot;;&quot;-&quot;* #,##0.0&quot;   &quot;;&quot; &quot;* &quot;-&quot;??&quot;   &quot;"/>
    <numFmt numFmtId="172" formatCode="0.0000%"/>
    <numFmt numFmtId="173" formatCode="0.000"/>
  </numFmts>
  <fonts count="55">
    <font>
      <sz val="11"/>
      <color indexed="8"/>
      <name val="Calibri"/>
    </font>
    <font>
      <sz val="11"/>
      <color theme="1"/>
      <name val="Helvetica Neue"/>
      <family val="2"/>
      <charset val="238"/>
      <scheme val="minor"/>
    </font>
    <font>
      <sz val="11"/>
      <color theme="1"/>
      <name val="Helvetica Neue"/>
      <family val="2"/>
      <charset val="238"/>
      <scheme val="minor"/>
    </font>
    <font>
      <sz val="11"/>
      <color theme="1"/>
      <name val="Helvetica Neue"/>
      <family val="2"/>
      <charset val="238"/>
      <scheme val="minor"/>
    </font>
    <font>
      <sz val="11"/>
      <color theme="1"/>
      <name val="Helvetica Neue"/>
      <family val="2"/>
      <charset val="238"/>
      <scheme val="minor"/>
    </font>
    <font>
      <sz val="11"/>
      <color theme="1"/>
      <name val="Helvetica Neue"/>
      <family val="2"/>
      <charset val="238"/>
      <scheme val="minor"/>
    </font>
    <font>
      <sz val="11"/>
      <color theme="1"/>
      <name val="Helvetica Neue"/>
      <family val="2"/>
      <charset val="238"/>
      <scheme val="minor"/>
    </font>
    <font>
      <sz val="11"/>
      <color theme="1"/>
      <name val="Helvetica Neue"/>
      <family val="2"/>
      <charset val="238"/>
      <scheme val="minor"/>
    </font>
    <font>
      <sz val="11"/>
      <color theme="1"/>
      <name val="Helvetica Neue"/>
      <family val="2"/>
      <charset val="238"/>
      <scheme val="minor"/>
    </font>
    <font>
      <b/>
      <sz val="10"/>
      <color indexed="8"/>
      <name val="Arial Narrow"/>
      <family val="2"/>
    </font>
    <font>
      <sz val="11"/>
      <color indexed="8"/>
      <name val="Arial Narrow"/>
      <family val="2"/>
    </font>
    <font>
      <b/>
      <i/>
      <sz val="7"/>
      <color indexed="8"/>
      <name val="Arial Narrow"/>
      <family val="2"/>
    </font>
    <font>
      <i/>
      <sz val="7"/>
      <color indexed="8"/>
      <name val="Arial Narrow"/>
      <family val="2"/>
    </font>
    <font>
      <i/>
      <sz val="8"/>
      <color indexed="8"/>
      <name val="Arial"/>
      <family val="2"/>
    </font>
    <font>
      <sz val="7"/>
      <color indexed="12"/>
      <name val="Arial Narrow"/>
      <family val="2"/>
    </font>
    <font>
      <b/>
      <sz val="7"/>
      <color indexed="8"/>
      <name val="Arial Narrow"/>
      <family val="2"/>
    </font>
    <font>
      <b/>
      <sz val="8"/>
      <color indexed="8"/>
      <name val="Arial"/>
      <family val="2"/>
    </font>
    <font>
      <sz val="7"/>
      <color indexed="8"/>
      <name val="Arial Narrow"/>
      <family val="2"/>
    </font>
    <font>
      <u/>
      <sz val="11"/>
      <color indexed="13"/>
      <name val="Calibri"/>
      <family val="2"/>
    </font>
    <font>
      <i/>
      <sz val="6"/>
      <color indexed="8"/>
      <name val="Arial Narrow"/>
      <family val="2"/>
    </font>
    <font>
      <b/>
      <sz val="9"/>
      <color indexed="8"/>
      <name val="Arial Narrow"/>
      <family val="2"/>
    </font>
    <font>
      <u/>
      <sz val="11"/>
      <color theme="10"/>
      <name val="Calibri"/>
      <family val="2"/>
      <charset val="238"/>
    </font>
    <font>
      <sz val="11"/>
      <color rgb="FF9C6500"/>
      <name val="Helvetica Neue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  <charset val="238"/>
    </font>
    <font>
      <b/>
      <sz val="18"/>
      <color theme="3"/>
      <name val="Helvetica Neue"/>
      <family val="2"/>
      <charset val="238"/>
      <scheme val="major"/>
    </font>
    <font>
      <b/>
      <sz val="15"/>
      <color theme="3"/>
      <name val="Helvetica Neue"/>
      <family val="2"/>
      <charset val="238"/>
      <scheme val="minor"/>
    </font>
    <font>
      <b/>
      <sz val="13"/>
      <color theme="3"/>
      <name val="Helvetica Neue"/>
      <family val="2"/>
      <charset val="238"/>
      <scheme val="minor"/>
    </font>
    <font>
      <b/>
      <sz val="11"/>
      <color theme="3"/>
      <name val="Helvetica Neue"/>
      <family val="2"/>
      <charset val="238"/>
      <scheme val="minor"/>
    </font>
    <font>
      <sz val="11"/>
      <color rgb="FF006100"/>
      <name val="Helvetica Neue"/>
      <family val="2"/>
      <charset val="238"/>
      <scheme val="minor"/>
    </font>
    <font>
      <sz val="11"/>
      <color rgb="FF9C0006"/>
      <name val="Helvetica Neue"/>
      <family val="2"/>
      <charset val="238"/>
      <scheme val="minor"/>
    </font>
    <font>
      <sz val="11"/>
      <color rgb="FF3F3F76"/>
      <name val="Helvetica Neue"/>
      <family val="2"/>
      <charset val="238"/>
      <scheme val="minor"/>
    </font>
    <font>
      <b/>
      <sz val="11"/>
      <color rgb="FF3F3F3F"/>
      <name val="Helvetica Neue"/>
      <family val="2"/>
      <charset val="238"/>
      <scheme val="minor"/>
    </font>
    <font>
      <b/>
      <sz val="11"/>
      <color rgb="FFFA7D00"/>
      <name val="Helvetica Neue"/>
      <family val="2"/>
      <charset val="238"/>
      <scheme val="minor"/>
    </font>
    <font>
      <sz val="11"/>
      <color rgb="FFFA7D00"/>
      <name val="Helvetica Neue"/>
      <family val="2"/>
      <charset val="238"/>
      <scheme val="minor"/>
    </font>
    <font>
      <b/>
      <sz val="11"/>
      <color theme="0"/>
      <name val="Helvetica Neue"/>
      <family val="2"/>
      <charset val="238"/>
      <scheme val="minor"/>
    </font>
    <font>
      <sz val="11"/>
      <color rgb="FFFF0000"/>
      <name val="Helvetica Neue"/>
      <family val="2"/>
      <charset val="238"/>
      <scheme val="minor"/>
    </font>
    <font>
      <i/>
      <sz val="11"/>
      <color rgb="FF7F7F7F"/>
      <name val="Helvetica Neue"/>
      <family val="2"/>
      <charset val="238"/>
      <scheme val="minor"/>
    </font>
    <font>
      <b/>
      <sz val="11"/>
      <color theme="1"/>
      <name val="Helvetica Neue"/>
      <family val="2"/>
      <charset val="238"/>
      <scheme val="minor"/>
    </font>
    <font>
      <sz val="11"/>
      <color theme="0"/>
      <name val="Helvetica Neue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</font>
    <font>
      <b/>
      <sz val="11"/>
      <color theme="0"/>
      <name val="Calibri"/>
      <family val="2"/>
      <charset val="238"/>
    </font>
    <font>
      <sz val="11"/>
      <color theme="1"/>
      <name val="Helvetica Neue"/>
      <family val="2"/>
      <scheme val="minor"/>
    </font>
    <font>
      <b/>
      <sz val="7"/>
      <color indexed="8"/>
      <name val="Arial Narrow"/>
      <family val="2"/>
      <charset val="238"/>
    </font>
    <font>
      <sz val="7"/>
      <color indexed="8"/>
      <name val="Arial Narrow"/>
      <family val="2"/>
      <charset val="238"/>
    </font>
    <font>
      <sz val="11"/>
      <name val="Times New Roman"/>
      <family val="1"/>
      <charset val="238"/>
    </font>
    <font>
      <b/>
      <sz val="11"/>
      <color indexed="8"/>
      <name val="Calibri"/>
    </font>
    <font>
      <b/>
      <sz val="18"/>
      <color indexed="8"/>
      <name val="Calibri"/>
    </font>
  </fonts>
  <fills count="4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5"/>
        <bgColor auto="1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0.39997558519241921"/>
        <bgColor indexed="64"/>
      </patternFill>
    </fill>
    <fill>
      <patternFill patternType="solid">
        <fgColor rgb="FFA0E6F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7">
    <xf numFmtId="0" fontId="0" fillId="0" borderId="0" applyNumberFormat="0" applyFill="0" applyBorder="0" applyProtection="0"/>
    <xf numFmtId="0" fontId="21" fillId="0" borderId="0" applyNumberFormat="0" applyFill="0" applyBorder="0" applyAlignment="0" applyProtection="0"/>
    <xf numFmtId="0" fontId="8" fillId="0" borderId="7"/>
    <xf numFmtId="0" fontId="26" fillId="0" borderId="7"/>
    <xf numFmtId="9" fontId="26" fillId="0" borderId="7" applyFont="0" applyFill="0" applyBorder="0" applyAlignment="0" applyProtection="0"/>
    <xf numFmtId="44" fontId="26" fillId="0" borderId="7" applyFont="0" applyFill="0" applyBorder="0" applyAlignment="0" applyProtection="0"/>
    <xf numFmtId="42" fontId="26" fillId="0" borderId="7" applyFont="0" applyFill="0" applyBorder="0" applyAlignment="0" applyProtection="0"/>
    <xf numFmtId="165" fontId="26" fillId="0" borderId="7" applyFont="0" applyFill="0" applyBorder="0" applyAlignment="0" applyProtection="0"/>
    <xf numFmtId="164" fontId="26" fillId="0" borderId="7" applyFont="0" applyFill="0" applyBorder="0" applyAlignment="0" applyProtection="0"/>
    <xf numFmtId="0" fontId="28" fillId="0" borderId="7"/>
    <xf numFmtId="0" fontId="28" fillId="0" borderId="7"/>
    <xf numFmtId="0" fontId="28" fillId="0" borderId="7"/>
    <xf numFmtId="0" fontId="28" fillId="0" borderId="7"/>
    <xf numFmtId="9" fontId="28" fillId="0" borderId="7" applyFont="0" applyFill="0" applyBorder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5" fillId="8" borderId="13" applyNumberFormat="0" applyAlignment="0" applyProtection="0"/>
    <xf numFmtId="0" fontId="36" fillId="9" borderId="14" applyNumberFormat="0" applyAlignment="0" applyProtection="0"/>
    <xf numFmtId="0" fontId="37" fillId="9" borderId="13" applyNumberFormat="0" applyAlignment="0" applyProtection="0"/>
    <xf numFmtId="0" fontId="38" fillId="0" borderId="15" applyNumberFormat="0" applyFill="0" applyAlignment="0" applyProtection="0"/>
    <xf numFmtId="0" fontId="39" fillId="10" borderId="16" applyNumberFormat="0" applyAlignment="0" applyProtection="0"/>
    <xf numFmtId="0" fontId="42" fillId="0" borderId="18" applyNumberFormat="0" applyFill="0" applyAlignment="0" applyProtection="0"/>
    <xf numFmtId="0" fontId="23" fillId="0" borderId="7"/>
    <xf numFmtId="9" fontId="7" fillId="0" borderId="7" applyFont="0" applyFill="0" applyBorder="0" applyAlignment="0" applyProtection="0"/>
    <xf numFmtId="0" fontId="29" fillId="0" borderId="7" applyNumberFormat="0" applyFill="0" applyBorder="0" applyAlignment="0" applyProtection="0"/>
    <xf numFmtId="0" fontId="32" fillId="0" borderId="7" applyNumberFormat="0" applyFill="0" applyBorder="0" applyAlignment="0" applyProtection="0"/>
    <xf numFmtId="0" fontId="33" fillId="6" borderId="7" applyNumberFormat="0" applyBorder="0" applyAlignment="0" applyProtection="0"/>
    <xf numFmtId="0" fontId="34" fillId="7" borderId="7" applyNumberFormat="0" applyBorder="0" applyAlignment="0" applyProtection="0"/>
    <xf numFmtId="0" fontId="22" fillId="5" borderId="7" applyNumberFormat="0" applyBorder="0" applyAlignment="0" applyProtection="0"/>
    <xf numFmtId="0" fontId="40" fillId="0" borderId="7" applyNumberFormat="0" applyFill="0" applyBorder="0" applyAlignment="0" applyProtection="0"/>
    <xf numFmtId="0" fontId="7" fillId="11" borderId="17" applyNumberFormat="0" applyFont="0" applyAlignment="0" applyProtection="0"/>
    <xf numFmtId="0" fontId="41" fillId="0" borderId="7" applyNumberFormat="0" applyFill="0" applyBorder="0" applyAlignment="0" applyProtection="0"/>
    <xf numFmtId="0" fontId="43" fillId="12" borderId="7" applyNumberFormat="0" applyBorder="0" applyAlignment="0" applyProtection="0"/>
    <xf numFmtId="0" fontId="7" fillId="13" borderId="7" applyNumberFormat="0" applyBorder="0" applyAlignment="0" applyProtection="0"/>
    <xf numFmtId="0" fontId="7" fillId="14" borderId="7" applyNumberFormat="0" applyBorder="0" applyAlignment="0" applyProtection="0"/>
    <xf numFmtId="0" fontId="43" fillId="15" borderId="7" applyNumberFormat="0" applyBorder="0" applyAlignment="0" applyProtection="0"/>
    <xf numFmtId="0" fontId="43" fillId="16" borderId="7" applyNumberFormat="0" applyBorder="0" applyAlignment="0" applyProtection="0"/>
    <xf numFmtId="0" fontId="7" fillId="17" borderId="7" applyNumberFormat="0" applyBorder="0" applyAlignment="0" applyProtection="0"/>
    <xf numFmtId="0" fontId="7" fillId="18" borderId="7" applyNumberFormat="0" applyBorder="0" applyAlignment="0" applyProtection="0"/>
    <xf numFmtId="0" fontId="43" fillId="19" borderId="7" applyNumberFormat="0" applyBorder="0" applyAlignment="0" applyProtection="0"/>
    <xf numFmtId="0" fontId="43" fillId="20" borderId="7" applyNumberFormat="0" applyBorder="0" applyAlignment="0" applyProtection="0"/>
    <xf numFmtId="0" fontId="7" fillId="21" borderId="7" applyNumberFormat="0" applyBorder="0" applyAlignment="0" applyProtection="0"/>
    <xf numFmtId="0" fontId="7" fillId="22" borderId="7" applyNumberFormat="0" applyBorder="0" applyAlignment="0" applyProtection="0"/>
    <xf numFmtId="0" fontId="43" fillId="23" borderId="7" applyNumberFormat="0" applyBorder="0" applyAlignment="0" applyProtection="0"/>
    <xf numFmtId="0" fontId="43" fillId="24" borderId="7" applyNumberFormat="0" applyBorder="0" applyAlignment="0" applyProtection="0"/>
    <xf numFmtId="0" fontId="7" fillId="25" borderId="7" applyNumberFormat="0" applyBorder="0" applyAlignment="0" applyProtection="0"/>
    <xf numFmtId="0" fontId="7" fillId="26" borderId="7" applyNumberFormat="0" applyBorder="0" applyAlignment="0" applyProtection="0"/>
    <xf numFmtId="0" fontId="43" fillId="27" borderId="7" applyNumberFormat="0" applyBorder="0" applyAlignment="0" applyProtection="0"/>
    <xf numFmtId="0" fontId="43" fillId="28" borderId="7" applyNumberFormat="0" applyBorder="0" applyAlignment="0" applyProtection="0"/>
    <xf numFmtId="0" fontId="7" fillId="29" borderId="7" applyNumberFormat="0" applyBorder="0" applyAlignment="0" applyProtection="0"/>
    <xf numFmtId="0" fontId="7" fillId="30" borderId="7" applyNumberFormat="0" applyBorder="0" applyAlignment="0" applyProtection="0"/>
    <xf numFmtId="0" fontId="43" fillId="31" borderId="7" applyNumberFormat="0" applyBorder="0" applyAlignment="0" applyProtection="0"/>
    <xf numFmtId="0" fontId="43" fillId="32" borderId="7" applyNumberFormat="0" applyBorder="0" applyAlignment="0" applyProtection="0"/>
    <xf numFmtId="0" fontId="7" fillId="33" borderId="7" applyNumberFormat="0" applyBorder="0" applyAlignment="0" applyProtection="0"/>
    <xf numFmtId="0" fontId="7" fillId="34" borderId="7" applyNumberFormat="0" applyBorder="0" applyAlignment="0" applyProtection="0"/>
    <xf numFmtId="0" fontId="43" fillId="35" borderId="7" applyNumberFormat="0" applyBorder="0" applyAlignment="0" applyProtection="0"/>
    <xf numFmtId="0" fontId="7" fillId="0" borderId="7"/>
    <xf numFmtId="9" fontId="23" fillId="0" borderId="7" applyFont="0" applyFill="0" applyBorder="0" applyAlignment="0" applyProtection="0"/>
    <xf numFmtId="0" fontId="44" fillId="0" borderId="7" applyNumberFormat="0" applyFill="0" applyBorder="0" applyAlignment="0" applyProtection="0"/>
    <xf numFmtId="0" fontId="23" fillId="0" borderId="7" applyNumberFormat="0" applyFill="0" applyBorder="0" applyProtection="0"/>
    <xf numFmtId="0" fontId="6" fillId="0" borderId="7"/>
    <xf numFmtId="0" fontId="45" fillId="0" borderId="7"/>
    <xf numFmtId="0" fontId="28" fillId="0" borderId="7"/>
    <xf numFmtId="0" fontId="47" fillId="0" borderId="7" applyNumberFormat="0" applyFill="0" applyBorder="0" applyProtection="0"/>
    <xf numFmtId="0" fontId="21" fillId="0" borderId="7" applyNumberFormat="0" applyFill="0" applyBorder="0" applyAlignment="0" applyProtection="0"/>
    <xf numFmtId="0" fontId="5" fillId="13" borderId="7" applyNumberFormat="0" applyBorder="0" applyAlignment="0" applyProtection="0"/>
    <xf numFmtId="0" fontId="5" fillId="17" borderId="7" applyNumberFormat="0" applyBorder="0" applyAlignment="0" applyProtection="0"/>
    <xf numFmtId="0" fontId="5" fillId="21" borderId="7" applyNumberFormat="0" applyBorder="0" applyAlignment="0" applyProtection="0"/>
    <xf numFmtId="0" fontId="5" fillId="25" borderId="7" applyNumberFormat="0" applyBorder="0" applyAlignment="0" applyProtection="0"/>
    <xf numFmtId="0" fontId="5" fillId="29" borderId="7" applyNumberFormat="0" applyBorder="0" applyAlignment="0" applyProtection="0"/>
    <xf numFmtId="0" fontId="5" fillId="33" borderId="7" applyNumberFormat="0" applyBorder="0" applyAlignment="0" applyProtection="0"/>
    <xf numFmtId="0" fontId="5" fillId="14" borderId="7" applyNumberFormat="0" applyBorder="0" applyAlignment="0" applyProtection="0"/>
    <xf numFmtId="0" fontId="5" fillId="18" borderId="7" applyNumberFormat="0" applyBorder="0" applyAlignment="0" applyProtection="0"/>
    <xf numFmtId="0" fontId="5" fillId="22" borderId="7" applyNumberFormat="0" applyBorder="0" applyAlignment="0" applyProtection="0"/>
    <xf numFmtId="0" fontId="5" fillId="26" borderId="7" applyNumberFormat="0" applyBorder="0" applyAlignment="0" applyProtection="0"/>
    <xf numFmtId="0" fontId="5" fillId="30" borderId="7" applyNumberFormat="0" applyBorder="0" applyAlignment="0" applyProtection="0"/>
    <xf numFmtId="0" fontId="5" fillId="34" borderId="7" applyNumberFormat="0" applyBorder="0" applyAlignment="0" applyProtection="0"/>
    <xf numFmtId="0" fontId="46" fillId="0" borderId="7"/>
    <xf numFmtId="0" fontId="49" fillId="0" borderId="7"/>
    <xf numFmtId="0" fontId="5" fillId="0" borderId="7"/>
    <xf numFmtId="0" fontId="28" fillId="0" borderId="7"/>
    <xf numFmtId="0" fontId="5" fillId="11" borderId="17" applyNumberFormat="0" applyFont="0" applyAlignment="0" applyProtection="0"/>
    <xf numFmtId="0" fontId="4" fillId="11" borderId="17" applyNumberFormat="0" applyFont="0" applyAlignment="0" applyProtection="0"/>
    <xf numFmtId="0" fontId="4" fillId="13" borderId="7" applyNumberFormat="0" applyBorder="0" applyAlignment="0" applyProtection="0"/>
    <xf numFmtId="0" fontId="4" fillId="14" borderId="7" applyNumberFormat="0" applyBorder="0" applyAlignment="0" applyProtection="0"/>
    <xf numFmtId="0" fontId="4" fillId="17" borderId="7" applyNumberFormat="0" applyBorder="0" applyAlignment="0" applyProtection="0"/>
    <xf numFmtId="0" fontId="4" fillId="18" borderId="7" applyNumberFormat="0" applyBorder="0" applyAlignment="0" applyProtection="0"/>
    <xf numFmtId="0" fontId="4" fillId="21" borderId="7" applyNumberFormat="0" applyBorder="0" applyAlignment="0" applyProtection="0"/>
    <xf numFmtId="0" fontId="4" fillId="22" borderId="7" applyNumberFormat="0" applyBorder="0" applyAlignment="0" applyProtection="0"/>
    <xf numFmtId="0" fontId="4" fillId="25" borderId="7" applyNumberFormat="0" applyBorder="0" applyAlignment="0" applyProtection="0"/>
    <xf numFmtId="0" fontId="4" fillId="26" borderId="7" applyNumberFormat="0" applyBorder="0" applyAlignment="0" applyProtection="0"/>
    <xf numFmtId="0" fontId="4" fillId="29" borderId="7" applyNumberFormat="0" applyBorder="0" applyAlignment="0" applyProtection="0"/>
    <xf numFmtId="0" fontId="4" fillId="30" borderId="7" applyNumberFormat="0" applyBorder="0" applyAlignment="0" applyProtection="0"/>
    <xf numFmtId="0" fontId="4" fillId="33" borderId="7" applyNumberFormat="0" applyBorder="0" applyAlignment="0" applyProtection="0"/>
    <xf numFmtId="0" fontId="4" fillId="34" borderId="7" applyNumberFormat="0" applyBorder="0" applyAlignment="0" applyProtection="0"/>
    <xf numFmtId="0" fontId="26" fillId="0" borderId="7"/>
    <xf numFmtId="0" fontId="3" fillId="11" borderId="17" applyNumberFormat="0" applyFont="0" applyAlignment="0" applyProtection="0"/>
    <xf numFmtId="0" fontId="3" fillId="13" borderId="7" applyNumberFormat="0" applyBorder="0" applyAlignment="0" applyProtection="0"/>
    <xf numFmtId="0" fontId="3" fillId="14" borderId="7" applyNumberFormat="0" applyBorder="0" applyAlignment="0" applyProtection="0"/>
    <xf numFmtId="0" fontId="3" fillId="17" borderId="7" applyNumberFormat="0" applyBorder="0" applyAlignment="0" applyProtection="0"/>
    <xf numFmtId="0" fontId="3" fillId="18" borderId="7" applyNumberFormat="0" applyBorder="0" applyAlignment="0" applyProtection="0"/>
    <xf numFmtId="0" fontId="3" fillId="21" borderId="7" applyNumberFormat="0" applyBorder="0" applyAlignment="0" applyProtection="0"/>
    <xf numFmtId="0" fontId="3" fillId="22" borderId="7" applyNumberFormat="0" applyBorder="0" applyAlignment="0" applyProtection="0"/>
    <xf numFmtId="0" fontId="3" fillId="25" borderId="7" applyNumberFormat="0" applyBorder="0" applyAlignment="0" applyProtection="0"/>
    <xf numFmtId="0" fontId="3" fillId="26" borderId="7" applyNumberFormat="0" applyBorder="0" applyAlignment="0" applyProtection="0"/>
    <xf numFmtId="0" fontId="3" fillId="29" borderId="7" applyNumberFormat="0" applyBorder="0" applyAlignment="0" applyProtection="0"/>
    <xf numFmtId="0" fontId="3" fillId="30" borderId="7" applyNumberFormat="0" applyBorder="0" applyAlignment="0" applyProtection="0"/>
    <xf numFmtId="0" fontId="3" fillId="33" borderId="7" applyNumberFormat="0" applyBorder="0" applyAlignment="0" applyProtection="0"/>
    <xf numFmtId="0" fontId="3" fillId="34" borderId="7" applyNumberFormat="0" applyBorder="0" applyAlignment="0" applyProtection="0"/>
    <xf numFmtId="9" fontId="47" fillId="0" borderId="7" applyFont="0" applyFill="0" applyBorder="0" applyAlignment="0" applyProtection="0"/>
    <xf numFmtId="0" fontId="21" fillId="0" borderId="7" applyNumberFormat="0" applyFill="0" applyBorder="0" applyAlignment="0" applyProtection="0"/>
    <xf numFmtId="0" fontId="45" fillId="0" borderId="7"/>
    <xf numFmtId="0" fontId="2" fillId="0" borderId="7"/>
    <xf numFmtId="0" fontId="45" fillId="0" borderId="7"/>
    <xf numFmtId="0" fontId="52" fillId="0" borderId="7"/>
    <xf numFmtId="9" fontId="1" fillId="0" borderId="7" applyFont="0" applyFill="0" applyBorder="0" applyAlignment="0" applyProtection="0"/>
  </cellStyleXfs>
  <cellXfs count="183">
    <xf numFmtId="0" fontId="0" fillId="0" borderId="0" xfId="0"/>
    <xf numFmtId="0" fontId="0" fillId="0" borderId="7" xfId="64" applyFont="1"/>
    <xf numFmtId="0" fontId="24" fillId="0" borderId="7" xfId="64" applyFont="1"/>
    <xf numFmtId="3" fontId="0" fillId="0" borderId="7" xfId="64" applyNumberFormat="1" applyFont="1"/>
    <xf numFmtId="0" fontId="0" fillId="0" borderId="7" xfId="64" applyNumberFormat="1" applyFont="1"/>
    <xf numFmtId="0" fontId="48" fillId="37" borderId="7" xfId="64" applyFont="1" applyFill="1"/>
    <xf numFmtId="0" fontId="23" fillId="0" borderId="7" xfId="64" applyFont="1"/>
    <xf numFmtId="0" fontId="23" fillId="0" borderId="7" xfId="64" applyNumberFormat="1" applyFont="1"/>
    <xf numFmtId="0" fontId="48" fillId="37" borderId="7" xfId="64" applyNumberFormat="1" applyFont="1" applyFill="1"/>
    <xf numFmtId="3" fontId="27" fillId="0" borderId="7" xfId="0" applyNumberFormat="1" applyFont="1" applyFill="1" applyBorder="1" applyProtection="1"/>
    <xf numFmtId="0" fontId="24" fillId="0" borderId="7" xfId="64" applyNumberFormat="1" applyFont="1"/>
    <xf numFmtId="0" fontId="0" fillId="38" borderId="7" xfId="64" applyFont="1" applyFill="1"/>
    <xf numFmtId="0" fontId="0" fillId="0" borderId="7" xfId="64" applyFont="1" applyFill="1"/>
    <xf numFmtId="173" fontId="23" fillId="0" borderId="7" xfId="64" applyNumberFormat="1" applyFont="1"/>
    <xf numFmtId="173" fontId="0" fillId="0" borderId="7" xfId="64" applyNumberFormat="1" applyFont="1"/>
    <xf numFmtId="0" fontId="0" fillId="0" borderId="7" xfId="64" applyNumberFormat="1" applyFont="1" applyFill="1"/>
    <xf numFmtId="0" fontId="23" fillId="0" borderId="7" xfId="64" applyFont="1" applyFill="1"/>
    <xf numFmtId="0" fontId="23" fillId="38" borderId="7" xfId="64" applyFont="1" applyFill="1"/>
    <xf numFmtId="0" fontId="21" fillId="0" borderId="7" xfId="111" applyNumberFormat="1" applyBorder="1" applyAlignment="1"/>
    <xf numFmtId="0" fontId="21" fillId="0" borderId="7" xfId="111" applyBorder="1" applyAlignment="1"/>
    <xf numFmtId="49" fontId="21" fillId="0" borderId="7" xfId="111" applyNumberFormat="1" applyBorder="1" applyAlignment="1"/>
    <xf numFmtId="0" fontId="47" fillId="2" borderId="1" xfId="64" applyFill="1" applyBorder="1" applyAlignment="1">
      <alignment vertical="top" wrapText="1"/>
    </xf>
    <xf numFmtId="0" fontId="47" fillId="0" borderId="7" xfId="64" applyNumberFormat="1"/>
    <xf numFmtId="49" fontId="12" fillId="0" borderId="2" xfId="64" applyNumberFormat="1" applyFont="1" applyFill="1" applyBorder="1" applyAlignment="1">
      <alignment horizontal="right" wrapText="1"/>
    </xf>
    <xf numFmtId="49" fontId="13" fillId="3" borderId="3" xfId="64" applyNumberFormat="1" applyFont="1" applyFill="1" applyBorder="1" applyAlignment="1">
      <alignment horizontal="left" vertical="top" wrapText="1"/>
    </xf>
    <xf numFmtId="0" fontId="12" fillId="0" borderId="4" xfId="64" applyFont="1" applyFill="1" applyBorder="1"/>
    <xf numFmtId="0" fontId="14" fillId="0" borderId="4" xfId="64" applyFont="1" applyFill="1" applyBorder="1"/>
    <xf numFmtId="9" fontId="14" fillId="0" borderId="4" xfId="64" applyNumberFormat="1" applyFont="1" applyFill="1" applyBorder="1"/>
    <xf numFmtId="2" fontId="14" fillId="0" borderId="4" xfId="64" applyNumberFormat="1" applyFont="1" applyFill="1" applyBorder="1" applyAlignment="1">
      <alignment horizontal="right"/>
    </xf>
    <xf numFmtId="2" fontId="16" fillId="2" borderId="3" xfId="64" applyNumberFormat="1" applyFont="1" applyFill="1" applyBorder="1" applyAlignment="1">
      <alignment horizontal="left" vertical="top" wrapText="1"/>
    </xf>
    <xf numFmtId="49" fontId="12" fillId="0" borderId="5" xfId="64" applyNumberFormat="1" applyFont="1" applyFill="1" applyBorder="1" applyAlignment="1">
      <alignment horizontal="right"/>
    </xf>
    <xf numFmtId="10" fontId="17" fillId="0" borderId="5" xfId="64" applyNumberFormat="1" applyFont="1" applyFill="1" applyBorder="1"/>
    <xf numFmtId="2" fontId="17" fillId="0" borderId="5" xfId="64" applyNumberFormat="1" applyFont="1" applyFill="1" applyBorder="1"/>
    <xf numFmtId="49" fontId="12" fillId="0" borderId="7" xfId="64" applyNumberFormat="1" applyFont="1" applyFill="1" applyBorder="1" applyAlignment="1">
      <alignment horizontal="right"/>
    </xf>
    <xf numFmtId="10" fontId="17" fillId="0" borderId="7" xfId="64" applyNumberFormat="1" applyFont="1" applyFill="1" applyBorder="1"/>
    <xf numFmtId="2" fontId="17" fillId="0" borderId="7" xfId="64" applyNumberFormat="1" applyFont="1" applyFill="1" applyBorder="1"/>
    <xf numFmtId="2" fontId="47" fillId="2" borderId="3" xfId="64" applyNumberFormat="1" applyFill="1" applyBorder="1" applyAlignment="1">
      <alignment vertical="top" wrapText="1"/>
    </xf>
    <xf numFmtId="49" fontId="18" fillId="2" borderId="3" xfId="64" applyNumberFormat="1" applyFont="1" applyFill="1" applyBorder="1" applyAlignment="1">
      <alignment wrapText="1"/>
    </xf>
    <xf numFmtId="49" fontId="12" fillId="0" borderId="2" xfId="64" applyNumberFormat="1" applyFont="1" applyFill="1" applyBorder="1" applyAlignment="1">
      <alignment horizontal="right"/>
    </xf>
    <xf numFmtId="10" fontId="17" fillId="0" borderId="2" xfId="64" applyNumberFormat="1" applyFont="1" applyFill="1" applyBorder="1"/>
    <xf numFmtId="2" fontId="17" fillId="0" borderId="2" xfId="64" applyNumberFormat="1" applyFont="1" applyFill="1" applyBorder="1"/>
    <xf numFmtId="2" fontId="15" fillId="0" borderId="2" xfId="64" applyNumberFormat="1" applyFont="1" applyFill="1" applyBorder="1"/>
    <xf numFmtId="49" fontId="12" fillId="0" borderId="5" xfId="64" applyNumberFormat="1" applyFont="1" applyFill="1" applyBorder="1" applyAlignment="1">
      <alignment horizontal="right" wrapText="1"/>
    </xf>
    <xf numFmtId="166" fontId="17" fillId="0" borderId="5" xfId="64" applyNumberFormat="1" applyFont="1" applyFill="1" applyBorder="1"/>
    <xf numFmtId="0" fontId="47" fillId="2" borderId="3" xfId="64" applyFill="1" applyBorder="1" applyAlignment="1">
      <alignment vertical="top"/>
    </xf>
    <xf numFmtId="49" fontId="12" fillId="0" borderId="7" xfId="64" applyNumberFormat="1" applyFont="1" applyFill="1" applyBorder="1" applyAlignment="1">
      <alignment horizontal="right" wrapText="1"/>
    </xf>
    <xf numFmtId="49" fontId="47" fillId="2" borderId="3" xfId="64" applyNumberFormat="1" applyFill="1" applyBorder="1" applyAlignment="1">
      <alignment vertical="top" wrapText="1"/>
    </xf>
    <xf numFmtId="49" fontId="12" fillId="0" borderId="19" xfId="64" applyNumberFormat="1" applyFont="1" applyFill="1" applyBorder="1" applyAlignment="1">
      <alignment horizontal="right" wrapText="1"/>
    </xf>
    <xf numFmtId="2" fontId="17" fillId="0" borderId="19" xfId="64" applyNumberFormat="1" applyFont="1" applyFill="1" applyBorder="1"/>
    <xf numFmtId="10" fontId="17" fillId="0" borderId="19" xfId="64" applyNumberFormat="1" applyFont="1" applyFill="1" applyBorder="1"/>
    <xf numFmtId="49" fontId="12" fillId="0" borderId="19" xfId="64" applyNumberFormat="1" applyFont="1" applyFill="1" applyBorder="1" applyAlignment="1">
      <alignment horizontal="right"/>
    </xf>
    <xf numFmtId="2" fontId="17" fillId="0" borderId="7" xfId="64" applyNumberFormat="1" applyFont="1" applyFill="1" applyBorder="1" applyAlignment="1">
      <alignment horizontal="right"/>
    </xf>
    <xf numFmtId="0" fontId="47" fillId="2" borderId="3" xfId="64" applyFill="1" applyBorder="1" applyAlignment="1">
      <alignment vertical="top" wrapText="1"/>
    </xf>
    <xf numFmtId="166" fontId="17" fillId="0" borderId="7" xfId="64" applyNumberFormat="1" applyFont="1" applyFill="1" applyBorder="1"/>
    <xf numFmtId="167" fontId="17" fillId="0" borderId="7" xfId="64" applyNumberFormat="1" applyFont="1" applyFill="1" applyBorder="1"/>
    <xf numFmtId="0" fontId="21" fillId="0" borderId="7" xfId="111" applyNumberFormat="1" applyAlignment="1"/>
    <xf numFmtId="167" fontId="17" fillId="0" borderId="7" xfId="64" applyNumberFormat="1" applyFont="1" applyFill="1" applyBorder="1" applyAlignment="1">
      <alignment wrapText="1"/>
    </xf>
    <xf numFmtId="49" fontId="18" fillId="2" borderId="3" xfId="64" applyNumberFormat="1" applyFont="1" applyFill="1" applyBorder="1" applyAlignment="1">
      <alignment horizontal="left" vertical="top" wrapText="1"/>
    </xf>
    <xf numFmtId="0" fontId="12" fillId="0" borderId="5" xfId="64" applyFont="1" applyFill="1" applyBorder="1"/>
    <xf numFmtId="2" fontId="15" fillId="0" borderId="5" xfId="64" applyNumberFormat="1" applyFont="1" applyFill="1" applyBorder="1"/>
    <xf numFmtId="10" fontId="15" fillId="0" borderId="5" xfId="64" applyNumberFormat="1" applyFont="1" applyFill="1" applyBorder="1"/>
    <xf numFmtId="2" fontId="17" fillId="0" borderId="5" xfId="64" applyNumberFormat="1" applyFont="1" applyFill="1" applyBorder="1" applyAlignment="1">
      <alignment horizontal="right"/>
    </xf>
    <xf numFmtId="0" fontId="12" fillId="0" borderId="2" xfId="64" applyFont="1" applyFill="1" applyBorder="1"/>
    <xf numFmtId="0" fontId="17" fillId="0" borderId="2" xfId="64" applyFont="1" applyFill="1" applyBorder="1"/>
    <xf numFmtId="10" fontId="15" fillId="0" borderId="2" xfId="64" applyNumberFormat="1" applyFont="1" applyFill="1" applyBorder="1"/>
    <xf numFmtId="0" fontId="17" fillId="0" borderId="7" xfId="64" applyFont="1" applyFill="1" applyBorder="1" applyAlignment="1">
      <alignment horizontal="right"/>
    </xf>
    <xf numFmtId="0" fontId="17" fillId="0" borderId="5" xfId="64" applyFont="1" applyFill="1" applyBorder="1"/>
    <xf numFmtId="0" fontId="47" fillId="0" borderId="6" xfId="64" applyBorder="1"/>
    <xf numFmtId="0" fontId="12" fillId="0" borderId="7" xfId="64" applyFont="1" applyBorder="1"/>
    <xf numFmtId="0" fontId="17" fillId="0" borderId="7" xfId="64" applyFont="1" applyBorder="1"/>
    <xf numFmtId="2" fontId="17" fillId="2" borderId="7" xfId="64" applyNumberFormat="1" applyFont="1" applyFill="1" applyBorder="1"/>
    <xf numFmtId="10" fontId="17" fillId="0" borderId="7" xfId="64" applyNumberFormat="1" applyFont="1" applyBorder="1"/>
    <xf numFmtId="0" fontId="17" fillId="2" borderId="7" xfId="64" applyFont="1" applyFill="1" applyBorder="1" applyAlignment="1">
      <alignment horizontal="right"/>
    </xf>
    <xf numFmtId="0" fontId="47" fillId="2" borderId="7" xfId="64" applyFill="1" applyBorder="1" applyAlignment="1">
      <alignment vertical="top" wrapText="1"/>
    </xf>
    <xf numFmtId="0" fontId="17" fillId="2" borderId="7" xfId="64" applyFont="1" applyFill="1" applyBorder="1"/>
    <xf numFmtId="0" fontId="11" fillId="0" borderId="2" xfId="64" applyFont="1" applyBorder="1"/>
    <xf numFmtId="49" fontId="11" fillId="0" borderId="2" xfId="64" applyNumberFormat="1" applyFont="1" applyBorder="1" applyAlignment="1">
      <alignment horizontal="right"/>
    </xf>
    <xf numFmtId="49" fontId="11" fillId="2" borderId="2" xfId="64" applyNumberFormat="1" applyFont="1" applyFill="1" applyBorder="1" applyAlignment="1">
      <alignment horizontal="right"/>
    </xf>
    <xf numFmtId="49" fontId="12" fillId="36" borderId="2" xfId="64" applyNumberFormat="1" applyFont="1" applyFill="1" applyBorder="1" applyAlignment="1">
      <alignment horizontal="right"/>
    </xf>
    <xf numFmtId="0" fontId="12" fillId="0" borderId="5" xfId="64" applyFont="1" applyBorder="1"/>
    <xf numFmtId="2" fontId="17" fillId="36" borderId="5" xfId="64" applyNumberFormat="1" applyFont="1" applyFill="1" applyBorder="1"/>
    <xf numFmtId="10" fontId="17" fillId="2" borderId="5" xfId="64" applyNumberFormat="1" applyFont="1" applyFill="1" applyBorder="1"/>
    <xf numFmtId="10" fontId="17" fillId="36" borderId="5" xfId="64" applyNumberFormat="1" applyFont="1" applyFill="1" applyBorder="1"/>
    <xf numFmtId="2" fontId="17" fillId="36" borderId="7" xfId="64" applyNumberFormat="1" applyFont="1" applyFill="1" applyBorder="1"/>
    <xf numFmtId="10" fontId="17" fillId="2" borderId="7" xfId="64" applyNumberFormat="1" applyFont="1" applyFill="1" applyBorder="1"/>
    <xf numFmtId="10" fontId="17" fillId="36" borderId="7" xfId="64" applyNumberFormat="1" applyFont="1" applyFill="1" applyBorder="1"/>
    <xf numFmtId="0" fontId="12" fillId="0" borderId="2" xfId="64" applyFont="1" applyBorder="1"/>
    <xf numFmtId="2" fontId="17" fillId="36" borderId="2" xfId="64" applyNumberFormat="1" applyFont="1" applyFill="1" applyBorder="1"/>
    <xf numFmtId="10" fontId="17" fillId="2" borderId="2" xfId="64" applyNumberFormat="1" applyFont="1" applyFill="1" applyBorder="1"/>
    <xf numFmtId="10" fontId="17" fillId="36" borderId="2" xfId="64" applyNumberFormat="1" applyFont="1" applyFill="1" applyBorder="1"/>
    <xf numFmtId="0" fontId="17" fillId="0" borderId="5" xfId="64" applyFont="1" applyBorder="1"/>
    <xf numFmtId="2" fontId="15" fillId="0" borderId="5" xfId="64" applyNumberFormat="1" applyFont="1" applyBorder="1"/>
    <xf numFmtId="10" fontId="15" fillId="2" borderId="5" xfId="64" applyNumberFormat="1" applyFont="1" applyFill="1" applyBorder="1"/>
    <xf numFmtId="10" fontId="17" fillId="2" borderId="7" xfId="64" applyNumberFormat="1" applyFont="1" applyFill="1" applyBorder="1" applyAlignment="1">
      <alignment horizontal="right"/>
    </xf>
    <xf numFmtId="0" fontId="47" fillId="0" borderId="7" xfId="64" applyBorder="1"/>
    <xf numFmtId="0" fontId="47" fillId="2" borderId="7" xfId="64" applyFill="1" applyBorder="1"/>
    <xf numFmtId="0" fontId="24" fillId="0" borderId="6" xfId="64" applyFont="1" applyBorder="1"/>
    <xf numFmtId="0" fontId="24" fillId="0" borderId="7" xfId="64" applyFont="1" applyBorder="1"/>
    <xf numFmtId="49" fontId="47" fillId="4" borderId="6" xfId="64" applyNumberFormat="1" applyFill="1" applyBorder="1"/>
    <xf numFmtId="168" fontId="47" fillId="39" borderId="7" xfId="64" applyNumberFormat="1" applyFill="1" applyBorder="1"/>
    <xf numFmtId="169" fontId="47" fillId="39" borderId="7" xfId="64" applyNumberFormat="1" applyFill="1" applyBorder="1"/>
    <xf numFmtId="170" fontId="47" fillId="39" borderId="7" xfId="64" applyNumberFormat="1" applyFill="1" applyBorder="1"/>
    <xf numFmtId="169" fontId="47" fillId="42" borderId="7" xfId="64" applyNumberFormat="1" applyFill="1" applyBorder="1"/>
    <xf numFmtId="169" fontId="25" fillId="39" borderId="7" xfId="64" applyNumberFormat="1" applyFont="1" applyFill="1" applyBorder="1"/>
    <xf numFmtId="0" fontId="21" fillId="0" borderId="7" xfId="111" applyAlignment="1"/>
    <xf numFmtId="49" fontId="25" fillId="0" borderId="7" xfId="111" applyNumberFormat="1" applyFont="1" applyBorder="1" applyAlignment="1"/>
    <xf numFmtId="49" fontId="18" fillId="0" borderId="7" xfId="64" applyNumberFormat="1" applyFont="1" applyBorder="1"/>
    <xf numFmtId="0" fontId="47" fillId="0" borderId="7" xfId="64" applyFill="1" applyBorder="1"/>
    <xf numFmtId="49" fontId="23" fillId="4" borderId="6" xfId="64" applyNumberFormat="1" applyFont="1" applyFill="1" applyBorder="1"/>
    <xf numFmtId="0" fontId="21" fillId="2" borderId="7" xfId="111" applyFill="1" applyBorder="1" applyAlignment="1"/>
    <xf numFmtId="170" fontId="47" fillId="42" borderId="7" xfId="64" applyNumberFormat="1" applyFill="1" applyBorder="1"/>
    <xf numFmtId="49" fontId="47" fillId="2" borderId="7" xfId="64" applyNumberFormat="1" applyFill="1" applyBorder="1"/>
    <xf numFmtId="49" fontId="21" fillId="0" borderId="7" xfId="111" applyNumberFormat="1" applyFill="1" applyBorder="1" applyAlignment="1">
      <alignment horizontal="left" vertical="top"/>
    </xf>
    <xf numFmtId="170" fontId="47" fillId="41" borderId="7" xfId="64" applyNumberFormat="1" applyFill="1" applyBorder="1"/>
    <xf numFmtId="0" fontId="23" fillId="2" borderId="7" xfId="64" applyFont="1" applyFill="1" applyBorder="1"/>
    <xf numFmtId="49" fontId="47" fillId="0" borderId="7" xfId="64" applyNumberFormat="1" applyBorder="1"/>
    <xf numFmtId="49" fontId="21" fillId="0" borderId="7" xfId="111" applyNumberFormat="1" applyBorder="1" applyAlignment="1">
      <alignment horizontal="left"/>
    </xf>
    <xf numFmtId="9" fontId="47" fillId="42" borderId="7" xfId="64" applyNumberFormat="1" applyFill="1" applyBorder="1"/>
    <xf numFmtId="171" fontId="47" fillId="0" borderId="7" xfId="64" applyNumberFormat="1" applyFill="1" applyBorder="1" applyAlignment="1">
      <alignment horizontal="left" wrapText="1"/>
    </xf>
    <xf numFmtId="165" fontId="47" fillId="0" borderId="7" xfId="64" applyNumberFormat="1" applyBorder="1"/>
    <xf numFmtId="168" fontId="47" fillId="41" borderId="7" xfId="64" applyNumberFormat="1" applyFill="1" applyBorder="1"/>
    <xf numFmtId="49" fontId="21" fillId="0" borderId="8" xfId="111" applyNumberFormat="1" applyBorder="1" applyAlignment="1"/>
    <xf numFmtId="0" fontId="47" fillId="2" borderId="8" xfId="64" applyFill="1" applyBorder="1"/>
    <xf numFmtId="0" fontId="47" fillId="0" borderId="8" xfId="64" applyBorder="1"/>
    <xf numFmtId="0" fontId="47" fillId="2" borderId="9" xfId="64" applyFill="1" applyBorder="1" applyAlignment="1">
      <alignment vertical="top" wrapText="1"/>
    </xf>
    <xf numFmtId="170" fontId="47" fillId="40" borderId="7" xfId="64" applyNumberFormat="1" applyFill="1" applyBorder="1"/>
    <xf numFmtId="0" fontId="47" fillId="0" borderId="7" xfId="64"/>
    <xf numFmtId="172" fontId="47" fillId="40" borderId="7" xfId="64" applyNumberFormat="1" applyFill="1" applyBorder="1" applyAlignment="1">
      <alignment horizontal="center"/>
    </xf>
    <xf numFmtId="0" fontId="47" fillId="39" borderId="7" xfId="64" applyNumberFormat="1" applyFill="1"/>
    <xf numFmtId="3" fontId="47" fillId="39" borderId="7" xfId="64" applyNumberFormat="1" applyFill="1"/>
    <xf numFmtId="9" fontId="47" fillId="39" borderId="7" xfId="64" applyNumberFormat="1" applyFill="1" applyBorder="1"/>
    <xf numFmtId="10" fontId="47" fillId="39" borderId="7" xfId="64" applyNumberFormat="1" applyFill="1" applyBorder="1"/>
    <xf numFmtId="170" fontId="47" fillId="43" borderId="7" xfId="64" applyNumberFormat="1" applyFill="1" applyBorder="1"/>
    <xf numFmtId="49" fontId="21" fillId="0" borderId="7" xfId="1" applyNumberFormat="1" applyBorder="1" applyAlignment="1"/>
    <xf numFmtId="10" fontId="47" fillId="39" borderId="7" xfId="64" applyNumberFormat="1" applyFill="1"/>
    <xf numFmtId="0" fontId="5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9" fontId="0" fillId="0" borderId="0" xfId="0" applyNumberFormat="1" applyAlignment="1">
      <alignment vertical="center" wrapText="1"/>
    </xf>
    <xf numFmtId="0" fontId="53" fillId="0" borderId="0" xfId="0" applyFont="1" applyAlignment="1">
      <alignment vertical="center" wrapText="1"/>
    </xf>
    <xf numFmtId="9" fontId="53" fillId="0" borderId="0" xfId="0" applyNumberFormat="1" applyFont="1" applyAlignment="1">
      <alignment vertical="center" wrapText="1"/>
    </xf>
    <xf numFmtId="0" fontId="54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53" fillId="0" borderId="0" xfId="0" applyFont="1" applyAlignment="1">
      <alignment horizontal="left" vertical="center" indent="1"/>
    </xf>
    <xf numFmtId="0" fontId="9" fillId="0" borderId="20" xfId="64" applyNumberFormat="1" applyFont="1" applyFill="1" applyBorder="1"/>
    <xf numFmtId="0" fontId="9" fillId="0" borderId="21" xfId="64" applyFont="1" applyFill="1" applyBorder="1"/>
    <xf numFmtId="0" fontId="10" fillId="0" borderId="21" xfId="64" applyFont="1" applyFill="1" applyBorder="1"/>
    <xf numFmtId="0" fontId="10" fillId="0" borderId="21" xfId="64" applyFont="1" applyFill="1" applyBorder="1" applyAlignment="1">
      <alignment horizontal="right"/>
    </xf>
    <xf numFmtId="0" fontId="10" fillId="0" borderId="22" xfId="64" applyFont="1" applyFill="1" applyBorder="1"/>
    <xf numFmtId="49" fontId="11" fillId="0" borderId="23" xfId="64" applyNumberFormat="1" applyFont="1" applyFill="1" applyBorder="1" applyAlignment="1">
      <alignment vertical="center"/>
    </xf>
    <xf numFmtId="49" fontId="12" fillId="0" borderId="24" xfId="64" applyNumberFormat="1" applyFont="1" applyFill="1" applyBorder="1" applyAlignment="1">
      <alignment horizontal="right" wrapText="1"/>
    </xf>
    <xf numFmtId="0" fontId="12" fillId="0" borderId="25" xfId="64" applyNumberFormat="1" applyFont="1" applyFill="1" applyBorder="1"/>
    <xf numFmtId="2" fontId="15" fillId="0" borderId="26" xfId="64" applyNumberFormat="1" applyFont="1" applyFill="1" applyBorder="1"/>
    <xf numFmtId="0" fontId="12" fillId="0" borderId="27" xfId="64" applyNumberFormat="1" applyFont="1" applyFill="1" applyBorder="1"/>
    <xf numFmtId="2" fontId="17" fillId="0" borderId="28" xfId="64" applyNumberFormat="1" applyFont="1" applyFill="1" applyBorder="1"/>
    <xf numFmtId="0" fontId="12" fillId="0" borderId="29" xfId="64" applyNumberFormat="1" applyFont="1" applyFill="1" applyBorder="1"/>
    <xf numFmtId="2" fontId="17" fillId="0" borderId="30" xfId="64" applyNumberFormat="1" applyFont="1" applyFill="1" applyBorder="1"/>
    <xf numFmtId="0" fontId="12" fillId="0" borderId="23" xfId="64" applyNumberFormat="1" applyFont="1" applyFill="1" applyBorder="1"/>
    <xf numFmtId="2" fontId="15" fillId="0" borderId="24" xfId="64" applyNumberFormat="1" applyFont="1" applyFill="1" applyBorder="1"/>
    <xf numFmtId="0" fontId="12" fillId="0" borderId="31" xfId="64" applyNumberFormat="1" applyFont="1" applyFill="1" applyBorder="1" applyAlignment="1">
      <alignment wrapText="1"/>
    </xf>
    <xf numFmtId="2" fontId="50" fillId="0" borderId="32" xfId="64" applyNumberFormat="1" applyFont="1" applyFill="1" applyBorder="1"/>
    <xf numFmtId="0" fontId="12" fillId="0" borderId="29" xfId="64" applyNumberFormat="1" applyFont="1" applyFill="1" applyBorder="1" applyAlignment="1">
      <alignment wrapText="1"/>
    </xf>
    <xf numFmtId="0" fontId="12" fillId="0" borderId="29" xfId="64" applyNumberFormat="1" applyFont="1" applyFill="1" applyBorder="1" applyAlignment="1">
      <alignment horizontal="left" vertical="top" wrapText="1"/>
    </xf>
    <xf numFmtId="0" fontId="12" fillId="0" borderId="27" xfId="64" applyNumberFormat="1" applyFont="1" applyFill="1" applyBorder="1" applyAlignment="1">
      <alignment wrapText="1"/>
    </xf>
    <xf numFmtId="2" fontId="51" fillId="0" borderId="30" xfId="64" applyNumberFormat="1" applyFont="1" applyFill="1" applyBorder="1"/>
    <xf numFmtId="0" fontId="17" fillId="0" borderId="30" xfId="64" applyFont="1" applyFill="1" applyBorder="1"/>
    <xf numFmtId="0" fontId="47" fillId="0" borderId="29" xfId="64" applyBorder="1"/>
    <xf numFmtId="0" fontId="17" fillId="0" borderId="30" xfId="64" applyFont="1" applyBorder="1"/>
    <xf numFmtId="0" fontId="12" fillId="0" borderId="29" xfId="64" applyFont="1" applyBorder="1"/>
    <xf numFmtId="0" fontId="20" fillId="0" borderId="29" xfId="64" applyNumberFormat="1" applyFont="1" applyBorder="1"/>
    <xf numFmtId="0" fontId="17" fillId="0" borderId="29" xfId="64" applyFont="1" applyBorder="1"/>
    <xf numFmtId="49" fontId="11" fillId="36" borderId="23" xfId="64" applyNumberFormat="1" applyFont="1" applyFill="1" applyBorder="1"/>
    <xf numFmtId="49" fontId="12" fillId="0" borderId="27" xfId="64" applyNumberFormat="1" applyFont="1" applyBorder="1"/>
    <xf numFmtId="49" fontId="12" fillId="0" borderId="29" xfId="64" applyNumberFormat="1" applyFont="1" applyBorder="1"/>
    <xf numFmtId="49" fontId="12" fillId="0" borderId="23" xfId="64" applyNumberFormat="1" applyFont="1" applyBorder="1"/>
    <xf numFmtId="0" fontId="47" fillId="0" borderId="30" xfId="64" applyBorder="1"/>
    <xf numFmtId="49" fontId="12" fillId="0" borderId="31" xfId="64" applyNumberFormat="1" applyFont="1" applyBorder="1"/>
    <xf numFmtId="0" fontId="47" fillId="2" borderId="19" xfId="64" applyFill="1" applyBorder="1"/>
    <xf numFmtId="0" fontId="47" fillId="0" borderId="32" xfId="64" applyBorder="1"/>
    <xf numFmtId="49" fontId="19" fillId="0" borderId="29" xfId="64" applyNumberFormat="1" applyFont="1" applyFill="1" applyBorder="1" applyAlignment="1">
      <alignment horizontal="center"/>
    </xf>
    <xf numFmtId="0" fontId="19" fillId="0" borderId="7" xfId="64" applyFont="1" applyFill="1" applyBorder="1" applyAlignment="1">
      <alignment horizontal="center"/>
    </xf>
    <xf numFmtId="49" fontId="12" fillId="0" borderId="19" xfId="64" applyNumberFormat="1" applyFont="1" applyBorder="1" applyAlignment="1">
      <alignment horizontal="center"/>
    </xf>
    <xf numFmtId="0" fontId="12" fillId="0" borderId="19" xfId="64" applyFont="1" applyBorder="1" applyAlignment="1">
      <alignment horizontal="center"/>
    </xf>
    <xf numFmtId="0" fontId="12" fillId="2" borderId="19" xfId="64" applyFont="1" applyFill="1" applyBorder="1" applyAlignment="1">
      <alignment horizontal="center"/>
    </xf>
  </cellXfs>
  <cellStyles count="117">
    <cellStyle name="=D:\WINNT\SYSTEM32\COMMAND.COM" xfId="63" xr:uid="{00000000-0005-0000-0000-000000000000}"/>
    <cellStyle name="20 % - zvýraznenie1 2" xfId="34" xr:uid="{00000000-0005-0000-0000-000001000000}"/>
    <cellStyle name="20 % - zvýraznenie1 3" xfId="66" xr:uid="{00000000-0005-0000-0000-000002000000}"/>
    <cellStyle name="20 % - zvýraznenie1 4" xfId="84" xr:uid="{00000000-0005-0000-0000-000003000000}"/>
    <cellStyle name="20 % - zvýraznenie1 5" xfId="98" xr:uid="{00000000-0005-0000-0000-000004000000}"/>
    <cellStyle name="20 % - zvýraznenie2 2" xfId="38" xr:uid="{00000000-0005-0000-0000-000005000000}"/>
    <cellStyle name="20 % - zvýraznenie2 3" xfId="67" xr:uid="{00000000-0005-0000-0000-000006000000}"/>
    <cellStyle name="20 % - zvýraznenie2 4" xfId="86" xr:uid="{00000000-0005-0000-0000-000007000000}"/>
    <cellStyle name="20 % - zvýraznenie2 5" xfId="100" xr:uid="{00000000-0005-0000-0000-000008000000}"/>
    <cellStyle name="20 % - zvýraznenie3 2" xfId="42" xr:uid="{00000000-0005-0000-0000-000009000000}"/>
    <cellStyle name="20 % - zvýraznenie3 3" xfId="68" xr:uid="{00000000-0005-0000-0000-00000A000000}"/>
    <cellStyle name="20 % - zvýraznenie3 4" xfId="88" xr:uid="{00000000-0005-0000-0000-00000B000000}"/>
    <cellStyle name="20 % - zvýraznenie3 5" xfId="102" xr:uid="{00000000-0005-0000-0000-00000C000000}"/>
    <cellStyle name="20 % - zvýraznenie4 2" xfId="46" xr:uid="{00000000-0005-0000-0000-00000D000000}"/>
    <cellStyle name="20 % - zvýraznenie4 3" xfId="69" xr:uid="{00000000-0005-0000-0000-00000E000000}"/>
    <cellStyle name="20 % - zvýraznenie4 4" xfId="90" xr:uid="{00000000-0005-0000-0000-00000F000000}"/>
    <cellStyle name="20 % - zvýraznenie4 5" xfId="104" xr:uid="{00000000-0005-0000-0000-000010000000}"/>
    <cellStyle name="20 % - zvýraznenie5 2" xfId="50" xr:uid="{00000000-0005-0000-0000-000011000000}"/>
    <cellStyle name="20 % - zvýraznenie5 3" xfId="70" xr:uid="{00000000-0005-0000-0000-000012000000}"/>
    <cellStyle name="20 % - zvýraznenie5 4" xfId="92" xr:uid="{00000000-0005-0000-0000-000013000000}"/>
    <cellStyle name="20 % - zvýraznenie5 5" xfId="106" xr:uid="{00000000-0005-0000-0000-000014000000}"/>
    <cellStyle name="20 % - zvýraznenie6 2" xfId="54" xr:uid="{00000000-0005-0000-0000-000015000000}"/>
    <cellStyle name="20 % - zvýraznenie6 3" xfId="71" xr:uid="{00000000-0005-0000-0000-000016000000}"/>
    <cellStyle name="20 % - zvýraznenie6 4" xfId="94" xr:uid="{00000000-0005-0000-0000-000017000000}"/>
    <cellStyle name="20 % - zvýraznenie6 5" xfId="108" xr:uid="{00000000-0005-0000-0000-000018000000}"/>
    <cellStyle name="40 % - zvýraznenie1 2" xfId="35" xr:uid="{00000000-0005-0000-0000-000019000000}"/>
    <cellStyle name="40 % - zvýraznenie1 3" xfId="72" xr:uid="{00000000-0005-0000-0000-00001A000000}"/>
    <cellStyle name="40 % - zvýraznenie1 4" xfId="85" xr:uid="{00000000-0005-0000-0000-00001B000000}"/>
    <cellStyle name="40 % - zvýraznenie1 5" xfId="99" xr:uid="{00000000-0005-0000-0000-00001C000000}"/>
    <cellStyle name="40 % - zvýraznenie2 2" xfId="39" xr:uid="{00000000-0005-0000-0000-00001D000000}"/>
    <cellStyle name="40 % - zvýraznenie2 3" xfId="73" xr:uid="{00000000-0005-0000-0000-00001E000000}"/>
    <cellStyle name="40 % - zvýraznenie2 4" xfId="87" xr:uid="{00000000-0005-0000-0000-00001F000000}"/>
    <cellStyle name="40 % - zvýraznenie2 5" xfId="101" xr:uid="{00000000-0005-0000-0000-000020000000}"/>
    <cellStyle name="40 % - zvýraznenie3 2" xfId="43" xr:uid="{00000000-0005-0000-0000-000021000000}"/>
    <cellStyle name="40 % - zvýraznenie3 3" xfId="74" xr:uid="{00000000-0005-0000-0000-000022000000}"/>
    <cellStyle name="40 % - zvýraznenie3 4" xfId="89" xr:uid="{00000000-0005-0000-0000-000023000000}"/>
    <cellStyle name="40 % - zvýraznenie3 5" xfId="103" xr:uid="{00000000-0005-0000-0000-000024000000}"/>
    <cellStyle name="40 % - zvýraznenie4 2" xfId="47" xr:uid="{00000000-0005-0000-0000-000025000000}"/>
    <cellStyle name="40 % - zvýraznenie4 3" xfId="75" xr:uid="{00000000-0005-0000-0000-000026000000}"/>
    <cellStyle name="40 % - zvýraznenie4 4" xfId="91" xr:uid="{00000000-0005-0000-0000-000027000000}"/>
    <cellStyle name="40 % - zvýraznenie4 5" xfId="105" xr:uid="{00000000-0005-0000-0000-000028000000}"/>
    <cellStyle name="40 % - zvýraznenie5 2" xfId="51" xr:uid="{00000000-0005-0000-0000-000029000000}"/>
    <cellStyle name="40 % - zvýraznenie5 3" xfId="76" xr:uid="{00000000-0005-0000-0000-00002A000000}"/>
    <cellStyle name="40 % - zvýraznenie5 4" xfId="93" xr:uid="{00000000-0005-0000-0000-00002B000000}"/>
    <cellStyle name="40 % - zvýraznenie5 5" xfId="107" xr:uid="{00000000-0005-0000-0000-00002C000000}"/>
    <cellStyle name="40 % - zvýraznenie6 2" xfId="55" xr:uid="{00000000-0005-0000-0000-00002D000000}"/>
    <cellStyle name="40 % - zvýraznenie6 3" xfId="77" xr:uid="{00000000-0005-0000-0000-00002E000000}"/>
    <cellStyle name="40 % - zvýraznenie6 4" xfId="95" xr:uid="{00000000-0005-0000-0000-00002F000000}"/>
    <cellStyle name="40 % - zvýraznenie6 5" xfId="109" xr:uid="{00000000-0005-0000-0000-000030000000}"/>
    <cellStyle name="60 % - zvýraznenie1 2" xfId="36" xr:uid="{00000000-0005-0000-0000-000031000000}"/>
    <cellStyle name="60 % - zvýraznenie2 2" xfId="40" xr:uid="{00000000-0005-0000-0000-000032000000}"/>
    <cellStyle name="60 % - zvýraznenie3 2" xfId="44" xr:uid="{00000000-0005-0000-0000-000033000000}"/>
    <cellStyle name="60 % - zvýraznenie4 2" xfId="48" xr:uid="{00000000-0005-0000-0000-000034000000}"/>
    <cellStyle name="60 % - zvýraznenie5 2" xfId="52" xr:uid="{00000000-0005-0000-0000-000035000000}"/>
    <cellStyle name="60 % - zvýraznenie6 2" xfId="56" xr:uid="{00000000-0005-0000-0000-000036000000}"/>
    <cellStyle name="Comma" xfId="7" xr:uid="{00000000-0005-0000-0000-000037000000}"/>
    <cellStyle name="Comma [0]" xfId="8" xr:uid="{00000000-0005-0000-0000-000038000000}"/>
    <cellStyle name="Currency" xfId="5" xr:uid="{00000000-0005-0000-0000-000039000000}"/>
    <cellStyle name="Currency [0]" xfId="6" xr:uid="{00000000-0005-0000-0000-00003A000000}"/>
    <cellStyle name="Dobrá 2" xfId="27" xr:uid="{00000000-0005-0000-0000-00003B000000}"/>
    <cellStyle name="Hypertextové prepojenie" xfId="1" builtinId="8"/>
    <cellStyle name="Hypertextové prepojenie 2" xfId="59" xr:uid="{00000000-0005-0000-0000-00003D000000}"/>
    <cellStyle name="Hypertextové prepojenie 2 2" xfId="111" xr:uid="{00000000-0005-0000-0000-00003E000000}"/>
    <cellStyle name="Hypertextové prepojenie 3" xfId="65" xr:uid="{00000000-0005-0000-0000-00003F000000}"/>
    <cellStyle name="Kontrolná bunka" xfId="21" builtinId="23" customBuiltin="1"/>
    <cellStyle name="Nadpis 1" xfId="14" builtinId="16" customBuiltin="1"/>
    <cellStyle name="Nadpis 2" xfId="15" builtinId="17" customBuiltin="1"/>
    <cellStyle name="Nadpis 3" xfId="16" builtinId="18" customBuiltin="1"/>
    <cellStyle name="Nadpis 4 2" xfId="26" xr:uid="{00000000-0005-0000-0000-000044000000}"/>
    <cellStyle name="Neutrálna 2" xfId="29" xr:uid="{00000000-0005-0000-0000-000045000000}"/>
    <cellStyle name="Normal" xfId="96" xr:uid="{00000000-0005-0000-0000-000046000000}"/>
    <cellStyle name="Normálna" xfId="0" builtinId="0"/>
    <cellStyle name="Normálna 10" xfId="78" xr:uid="{00000000-0005-0000-0000-000048000000}"/>
    <cellStyle name="Normálna 11" xfId="79" xr:uid="{00000000-0005-0000-0000-000049000000}"/>
    <cellStyle name="Normálna 12" xfId="112" xr:uid="{00000000-0005-0000-0000-00004A000000}"/>
    <cellStyle name="Normálna 13" xfId="113" xr:uid="{00000000-0005-0000-0000-00004B000000}"/>
    <cellStyle name="Normálna 14" xfId="115" xr:uid="{00000000-0005-0000-0000-00004C000000}"/>
    <cellStyle name="Normálna 2" xfId="2" xr:uid="{00000000-0005-0000-0000-00004D000000}"/>
    <cellStyle name="Normálna 2 2" xfId="10" xr:uid="{00000000-0005-0000-0000-00004E000000}"/>
    <cellStyle name="Normálna 2 3" xfId="57" xr:uid="{00000000-0005-0000-0000-00004F000000}"/>
    <cellStyle name="Normálna 3" xfId="3" xr:uid="{00000000-0005-0000-0000-000050000000}"/>
    <cellStyle name="Normálna 4" xfId="9" xr:uid="{00000000-0005-0000-0000-000051000000}"/>
    <cellStyle name="Normálna 5" xfId="23" xr:uid="{00000000-0005-0000-0000-000052000000}"/>
    <cellStyle name="Normálna 6" xfId="60" xr:uid="{00000000-0005-0000-0000-000053000000}"/>
    <cellStyle name="Normálna 7" xfId="61" xr:uid="{00000000-0005-0000-0000-000054000000}"/>
    <cellStyle name="Normálna 8" xfId="64" xr:uid="{00000000-0005-0000-0000-000055000000}"/>
    <cellStyle name="Normálna 9" xfId="80" xr:uid="{00000000-0005-0000-0000-000056000000}"/>
    <cellStyle name="normálne 2" xfId="11" xr:uid="{00000000-0005-0000-0000-000057000000}"/>
    <cellStyle name="Normálne 4" xfId="114" xr:uid="{00000000-0005-0000-0000-000058000000}"/>
    <cellStyle name="Normálne 4 2" xfId="62" xr:uid="{00000000-0005-0000-0000-000059000000}"/>
    <cellStyle name="normálne_NP" xfId="81" xr:uid="{00000000-0005-0000-0000-00005A000000}"/>
    <cellStyle name="normální 5" xfId="12" xr:uid="{00000000-0005-0000-0000-00005B000000}"/>
    <cellStyle name="Percent" xfId="4" xr:uid="{00000000-0005-0000-0000-00005C000000}"/>
    <cellStyle name="Percentá 2" xfId="13" xr:uid="{00000000-0005-0000-0000-00005D000000}"/>
    <cellStyle name="Percentá 3" xfId="24" xr:uid="{00000000-0005-0000-0000-00005E000000}"/>
    <cellStyle name="Percentá 3 2" xfId="116" xr:uid="{00000000-0005-0000-0000-00005F000000}"/>
    <cellStyle name="Percentá 4" xfId="58" xr:uid="{00000000-0005-0000-0000-000060000000}"/>
    <cellStyle name="Percentá 5" xfId="110" xr:uid="{00000000-0005-0000-0000-000061000000}"/>
    <cellStyle name="Poznámka 2" xfId="31" xr:uid="{00000000-0005-0000-0000-000062000000}"/>
    <cellStyle name="Poznámka 3" xfId="82" xr:uid="{00000000-0005-0000-0000-000063000000}"/>
    <cellStyle name="Poznámka 4" xfId="83" xr:uid="{00000000-0005-0000-0000-000064000000}"/>
    <cellStyle name="Poznámka 5" xfId="97" xr:uid="{00000000-0005-0000-0000-000065000000}"/>
    <cellStyle name="Prepojená bunka" xfId="20" builtinId="24" customBuiltin="1"/>
    <cellStyle name="Spolu" xfId="22" builtinId="25" customBuiltin="1"/>
    <cellStyle name="Text upozornenia 2" xfId="30" xr:uid="{00000000-0005-0000-0000-000068000000}"/>
    <cellStyle name="Titul 2" xfId="25" xr:uid="{00000000-0005-0000-0000-000069000000}"/>
    <cellStyle name="Vstup" xfId="17" builtinId="20" customBuiltin="1"/>
    <cellStyle name="Výpočet" xfId="19" builtinId="22" customBuiltin="1"/>
    <cellStyle name="Výstup" xfId="18" builtinId="21" customBuiltin="1"/>
    <cellStyle name="Vysvetľujúci text 2" xfId="32" xr:uid="{00000000-0005-0000-0000-00006D000000}"/>
    <cellStyle name="Zlá 2" xfId="28" xr:uid="{00000000-0005-0000-0000-00006E000000}"/>
    <cellStyle name="Zvýraznenie1 2" xfId="33" xr:uid="{00000000-0005-0000-0000-00006F000000}"/>
    <cellStyle name="Zvýraznenie2 2" xfId="37" xr:uid="{00000000-0005-0000-0000-000070000000}"/>
    <cellStyle name="Zvýraznenie3 2" xfId="41" xr:uid="{00000000-0005-0000-0000-000071000000}"/>
    <cellStyle name="Zvýraznenie4 2" xfId="45" xr:uid="{00000000-0005-0000-0000-000072000000}"/>
    <cellStyle name="Zvýraznenie5 2" xfId="49" xr:uid="{00000000-0005-0000-0000-000073000000}"/>
    <cellStyle name="Zvýraznenie6 2" xfId="53" xr:uid="{00000000-0005-0000-0000-000074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FFF00"/>
      <rgbColor rgb="FFFF0000"/>
      <rgbColor rgb="FF0000FF"/>
      <rgbColor rgb="FFA7A7A7"/>
      <rgbColor rgb="FFFABF8F"/>
      <rgbColor rgb="FF00FF00"/>
      <rgbColor rgb="FFF2F2F2"/>
      <rgbColor rgb="FFDDDDDD"/>
      <rgbColor rgb="FFF9F9F9"/>
      <rgbColor rgb="FFBBCEDC"/>
      <rgbColor rgb="FF084887"/>
      <rgbColor rgb="FFF6FAF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0E6F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9350577538692"/>
          <c:y val="0.24440749362598382"/>
          <c:w val="0.31094200000000011"/>
          <c:h val="0.52291599999999983"/>
        </c:manualLayout>
      </c:layout>
      <c:pieChart>
        <c:varyColors val="0"/>
        <c:ser>
          <c:idx val="0"/>
          <c:order val="0"/>
          <c:tx>
            <c:strRef>
              <c:f>Výpočet!$A$69</c:f>
              <c:strCache>
                <c:ptCount val="1"/>
                <c:pt idx="0">
                  <c:v>Komu a koľko na daniach mesačne platíme:</c:v>
                </c:pt>
              </c:strCache>
            </c:strRef>
          </c:tx>
          <c:spPr>
            <a:solidFill>
              <a:schemeClr val="accent1"/>
            </a:solidFill>
            <a:ln w="12700" cap="flat">
              <a:noFill/>
              <a:miter lim="400000"/>
            </a:ln>
            <a:effectLst/>
          </c:spPr>
          <c:dPt>
            <c:idx val="1"/>
            <c:bubble3D val="0"/>
            <c:spPr>
              <a:solidFill>
                <a:schemeClr val="accent2"/>
              </a:solidFill>
              <a:ln w="12700" cap="flat">
                <a:noFill/>
                <a:miter lim="4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0-8321-4D44-9F54-67B4B11862F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2700" cap="flat">
                <a:noFill/>
                <a:miter lim="4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21-4D44-9F54-67B4B11862F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2700" cap="flat">
                <a:noFill/>
                <a:miter lim="4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2-8321-4D44-9F54-67B4B11862F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2700" cap="flat">
                <a:noFill/>
                <a:miter lim="4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3-8321-4D44-9F54-67B4B11862FC}"/>
              </c:ext>
            </c:extLst>
          </c:dPt>
          <c:dLbls>
            <c:dLbl>
              <c:idx val="0"/>
              <c:layout>
                <c:manualLayout>
                  <c:x val="5.9701445377221836E-2"/>
                  <c:y val="-1.228751959713050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ED-425B-8E28-EDA5DBCD3D5A}"/>
                </c:ext>
              </c:extLst>
            </c:dLbl>
            <c:dLbl>
              <c:idx val="1"/>
              <c:layout>
                <c:manualLayout>
                  <c:x val="-4.2952786302801679E-2"/>
                  <c:y val="6.395200918703029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21-4D44-9F54-67B4B11862FC}"/>
                </c:ext>
              </c:extLst>
            </c:dLbl>
            <c:dLbl>
              <c:idx val="2"/>
              <c:layout>
                <c:manualLayout>
                  <c:x val="-4.1418069450951854E-2"/>
                  <c:y val="3.26158361489804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980015957984474"/>
                      <c:h val="8.637331193076734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8321-4D44-9F54-67B4B11862FC}"/>
                </c:ext>
              </c:extLst>
            </c:dLbl>
            <c:dLbl>
              <c:idx val="3"/>
              <c:layout>
                <c:manualLayout>
                  <c:x val="4.2138897611049561E-3"/>
                  <c:y val="1.3175606125386276E-4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21-4D44-9F54-67B4B11862FC}"/>
                </c:ext>
              </c:extLst>
            </c:dLbl>
            <c:dLbl>
              <c:idx val="4"/>
              <c:layout>
                <c:manualLayout>
                  <c:x val="7.1399541444745238E-2"/>
                  <c:y val="-1.835083218521861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21-4D44-9F54-67B4B11862FC}"/>
                </c:ext>
              </c:extLst>
            </c:dLbl>
            <c:numFmt formatCode="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Arial Narrow"/>
                  </a:defRPr>
                </a:pPr>
                <a:endParaRPr lang="sk-SK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6350" cap="flat">
                  <a:solidFill>
                    <a:srgbClr val="000000"/>
                  </a:solidFill>
                  <a:prstDash val="solid"/>
                  <a:miter lim="400000"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Výpočet!$A$70:$A$74</c:f>
              <c:strCache>
                <c:ptCount val="5"/>
                <c:pt idx="0">
                  <c:v>štátu</c:v>
                </c:pt>
                <c:pt idx="1">
                  <c:v>obciam</c:v>
                </c:pt>
                <c:pt idx="2">
                  <c:v>VÚC</c:v>
                </c:pt>
                <c:pt idx="3">
                  <c:v>súkrom. spol.</c:v>
                </c:pt>
                <c:pt idx="4">
                  <c:v>EÚ</c:v>
                </c:pt>
              </c:strCache>
            </c:strRef>
          </c:cat>
          <c:val>
            <c:numRef>
              <c:f>Výpočet!$C$70:$C$74</c:f>
              <c:numCache>
                <c:formatCode>0.00</c:formatCode>
                <c:ptCount val="5"/>
                <c:pt idx="0">
                  <c:v>1142.2928728932613</c:v>
                </c:pt>
                <c:pt idx="1">
                  <c:v>145.71564832159223</c:v>
                </c:pt>
                <c:pt idx="2">
                  <c:v>47.517607783288824</c:v>
                </c:pt>
                <c:pt idx="3">
                  <c:v>142.08089463368358</c:v>
                </c:pt>
                <c:pt idx="4">
                  <c:v>0.56000017294394411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21-4D44-9F54-67B4B1186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  <a:ln w="12700" cap="flat">
          <a:noFill/>
          <a:miter lim="400000"/>
        </a:ln>
        <a:effectLst/>
      </c:spPr>
    </c:plotArea>
    <c:legend>
      <c:legendPos val="r"/>
      <c:layout>
        <c:manualLayout>
          <c:xMode val="edge"/>
          <c:yMode val="edge"/>
          <c:x val="0.57075100000000023"/>
          <c:y val="0.24139099999999999"/>
          <c:w val="0.4292490000000001"/>
          <c:h val="0.42671227453402388"/>
        </c:manualLayout>
      </c:layout>
      <c:overlay val="1"/>
      <c:spPr>
        <a:noFill/>
        <a:ln w="12700" cap="flat">
          <a:noFill/>
          <a:miter lim="400000"/>
        </a:ln>
        <a:effectLst/>
      </c:spPr>
      <c:txPr>
        <a:bodyPr rot="0"/>
        <a:lstStyle/>
        <a:p>
          <a:pPr>
            <a:defRPr sz="700" b="0" i="0" u="none" strike="noStrike">
              <a:solidFill>
                <a:srgbClr val="000000"/>
              </a:solidFill>
              <a:latin typeface="Calibri"/>
            </a:defRPr>
          </a:pPr>
          <a:endParaRPr lang="sk-SK"/>
        </a:p>
      </c:txPr>
    </c:legend>
    <c:plotVisOnly val="1"/>
    <c:dispBlanksAs val="zero"/>
    <c:showDLblsOverMax val="1"/>
  </c:chart>
  <c:spPr>
    <a:solidFill>
      <a:srgbClr val="F2F2F2"/>
    </a:solidFill>
    <a:ln>
      <a:noFill/>
    </a:ln>
    <a:effectLst/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32127542596124"/>
          <c:y val="0.17742084671034272"/>
          <c:w val="0.30776538712075102"/>
          <c:h val="0.62489693015916425"/>
        </c:manualLayout>
      </c:layout>
      <c:pieChart>
        <c:varyColors val="0"/>
        <c:ser>
          <c:idx val="0"/>
          <c:order val="0"/>
          <c:tx>
            <c:strRef>
              <c:f>Výpočet!$A$80</c:f>
              <c:strCache>
                <c:ptCount val="1"/>
                <c:pt idx="0">
                  <c:v>príjem</c:v>
                </c:pt>
              </c:strCache>
            </c:strRef>
          </c:tx>
          <c:spPr>
            <a:solidFill>
              <a:schemeClr val="accent1"/>
            </a:solidFill>
            <a:ln w="12700" cap="flat">
              <a:noFill/>
              <a:miter lim="400000"/>
            </a:ln>
            <a:effectLst/>
          </c:spPr>
          <c:dPt>
            <c:idx val="1"/>
            <c:bubble3D val="0"/>
            <c:spPr>
              <a:solidFill>
                <a:schemeClr val="accent2"/>
              </a:solidFill>
              <a:ln w="12700" cap="flat">
                <a:noFill/>
                <a:miter lim="4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0-7C61-4148-B629-9E5CCCAB1EB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2700" cap="flat">
                <a:noFill/>
                <a:miter lim="4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61-4148-B629-9E5CCCAB1EB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2700" cap="flat">
                <a:noFill/>
                <a:miter lim="400000"/>
              </a:ln>
              <a:effectLst/>
            </c:spPr>
            <c:extLst>
              <c:ext xmlns:c16="http://schemas.microsoft.com/office/drawing/2014/chart" uri="{C3380CC4-5D6E-409C-BE32-E72D297353CC}">
                <c16:uniqueId val="{00000002-7C61-4148-B629-9E5CCCAB1EB3}"/>
              </c:ext>
            </c:extLst>
          </c:dPt>
          <c:dLbls>
            <c:dLbl>
              <c:idx val="0"/>
              <c:layout>
                <c:manualLayout>
                  <c:x val="7.8556402148786786E-2"/>
                  <c:y val="-2.5009506537572761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9B-4211-A1D4-FA894408210F}"/>
                </c:ext>
              </c:extLst>
            </c:dLbl>
            <c:dLbl>
              <c:idx val="1"/>
              <c:layout>
                <c:manualLayout>
                  <c:x val="-1.322803546113374E-2"/>
                  <c:y val="-2.564116753720989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61-4148-B629-9E5CCCAB1EB3}"/>
                </c:ext>
              </c:extLst>
            </c:dLbl>
            <c:dLbl>
              <c:idx val="2"/>
              <c:layout>
                <c:manualLayout>
                  <c:x val="-2.0461910507710637E-2"/>
                  <c:y val="-4.345021301759245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61-4148-B629-9E5CCCAB1EB3}"/>
                </c:ext>
              </c:extLst>
            </c:dLbl>
            <c:dLbl>
              <c:idx val="3"/>
              <c:layout>
                <c:manualLayout>
                  <c:x val="2.129388507870383E-2"/>
                  <c:y val="-4.633236135898965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61-4148-B629-9E5CCCAB1EB3}"/>
                </c:ext>
              </c:extLst>
            </c:dLbl>
            <c:numFmt formatCode="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 b="0" i="0" u="none" strike="noStrike">
                    <a:solidFill>
                      <a:srgbClr val="000000"/>
                    </a:solidFill>
                    <a:latin typeface="Arial Narrow"/>
                  </a:defRPr>
                </a:pPr>
                <a:endParaRPr lang="sk-SK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6350" cap="flat">
                  <a:solidFill>
                    <a:srgbClr val="000000"/>
                  </a:solidFill>
                  <a:prstDash val="solid"/>
                  <a:miter lim="400000"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Výpočet!$A$80:$A$83</c:f>
              <c:strCache>
                <c:ptCount val="4"/>
                <c:pt idx="0">
                  <c:v>príjem</c:v>
                </c:pt>
                <c:pt idx="1">
                  <c:v>majetok</c:v>
                </c:pt>
                <c:pt idx="2">
                  <c:v>spotrebu</c:v>
                </c:pt>
                <c:pt idx="3">
                  <c:v>podnikanie</c:v>
                </c:pt>
              </c:strCache>
            </c:strRef>
          </c:cat>
          <c:val>
            <c:numRef>
              <c:f>Výpočet!$C$80:$C$83</c:f>
              <c:numCache>
                <c:formatCode>0.00</c:formatCode>
                <c:ptCount val="4"/>
                <c:pt idx="0">
                  <c:v>1072.3245259442961</c:v>
                </c:pt>
                <c:pt idx="1">
                  <c:v>32.277928647819095</c:v>
                </c:pt>
                <c:pt idx="2">
                  <c:v>342.03110221249949</c:v>
                </c:pt>
                <c:pt idx="3">
                  <c:v>31.533467000154815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61-4148-B629-9E5CCCAB1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  <a:ln w="12700" cap="flat">
          <a:noFill/>
          <a:miter lim="400000"/>
        </a:ln>
        <a:effectLst/>
      </c:spPr>
    </c:plotArea>
    <c:legend>
      <c:legendPos val="r"/>
      <c:layout>
        <c:manualLayout>
          <c:xMode val="edge"/>
          <c:yMode val="edge"/>
          <c:x val="0.57952609727788418"/>
          <c:y val="0.26055581424581337"/>
          <c:w val="0.40563937775981546"/>
          <c:h val="0.45675000000000004"/>
        </c:manualLayout>
      </c:layout>
      <c:overlay val="1"/>
      <c:spPr>
        <a:noFill/>
        <a:ln w="12700" cap="flat">
          <a:noFill/>
          <a:miter lim="400000"/>
        </a:ln>
        <a:effectLst/>
      </c:spPr>
      <c:txPr>
        <a:bodyPr rot="0"/>
        <a:lstStyle/>
        <a:p>
          <a:pPr>
            <a:defRPr sz="700" b="0" i="0" u="none" strike="noStrike">
              <a:solidFill>
                <a:srgbClr val="000000"/>
              </a:solidFill>
              <a:latin typeface="Calibri"/>
            </a:defRPr>
          </a:pPr>
          <a:endParaRPr lang="sk-SK"/>
        </a:p>
      </c:txPr>
    </c:legend>
    <c:plotVisOnly val="1"/>
    <c:dispBlanksAs val="zero"/>
    <c:showDLblsOverMax val="1"/>
  </c:chart>
  <c:spPr>
    <a:solidFill>
      <a:srgbClr val="F2F2F2"/>
    </a:solidFill>
    <a:ln>
      <a:noFill/>
    </a:ln>
    <a:effectLst/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2259603</xdr:colOff>
      <xdr:row>67</xdr:row>
      <xdr:rowOff>97707</xdr:rowOff>
    </xdr:from>
    <xdr:to>
      <xdr:col>2</xdr:col>
      <xdr:colOff>6108</xdr:colOff>
      <xdr:row>75</xdr:row>
      <xdr:rowOff>137142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2209800</xdr:colOff>
      <xdr:row>77</xdr:row>
      <xdr:rowOff>137160</xdr:rowOff>
    </xdr:from>
    <xdr:to>
      <xdr:col>1</xdr:col>
      <xdr:colOff>863358</xdr:colOff>
      <xdr:row>84</xdr:row>
      <xdr:rowOff>53339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inv.sk/?pocet-zmien-drzby-vozidiel" TargetMode="External"/><Relationship Id="rId21" Type="http://schemas.openxmlformats.org/officeDocument/2006/relationships/hyperlink" Target="https://www.tpdcontrol.sk/cennik.html" TargetMode="External"/><Relationship Id="rId42" Type="http://schemas.openxmlformats.org/officeDocument/2006/relationships/hyperlink" Target="https://www.slov-lex.sk/pravne-predpisy/SK/ZZ/2004/580/" TargetMode="External"/><Relationship Id="rId47" Type="http://schemas.openxmlformats.org/officeDocument/2006/relationships/hyperlink" Target="http://datacube.statistics.sk/" TargetMode="External"/><Relationship Id="rId63" Type="http://schemas.openxmlformats.org/officeDocument/2006/relationships/hyperlink" Target="https://datacube.statistics.sk/" TargetMode="External"/><Relationship Id="rId68" Type="http://schemas.openxmlformats.org/officeDocument/2006/relationships/hyperlink" Target="https://www.soi.sk/files/documents/kcinnost/2025/vs-2025.pdf" TargetMode="External"/><Relationship Id="rId84" Type="http://schemas.openxmlformats.org/officeDocument/2006/relationships/hyperlink" Target="http://datacube.statistics.sk/" TargetMode="External"/><Relationship Id="rId16" Type="http://schemas.openxmlformats.org/officeDocument/2006/relationships/hyperlink" Target="https://www.sepsas.sk/Dokumenty/RocenkySed/ROCENKA_SED_2018.pdf" TargetMode="External"/><Relationship Id="rId11" Type="http://schemas.openxmlformats.org/officeDocument/2006/relationships/hyperlink" Target="https://www.mfsr.sk/sk/financie/statne-vykaznictvo/klucove-dokumenty-uctovne-zavierky/statny-zaverecny-ucet-sr/" TargetMode="External"/><Relationship Id="rId32" Type="http://schemas.openxmlformats.org/officeDocument/2006/relationships/hyperlink" Target="https://www.spp.sk/sk/domacnosti/plyn/tarify-a-ceny/" TargetMode="External"/><Relationship Id="rId37" Type="http://schemas.openxmlformats.org/officeDocument/2006/relationships/hyperlink" Target="https://www.nbs.sk/sk/statisticke-udaje/financne-institucie/banky/statisticke-udaje-penaznych-financnych-institucii/vklady" TargetMode="External"/><Relationship Id="rId53" Type="http://schemas.openxmlformats.org/officeDocument/2006/relationships/hyperlink" Target="https://finstat.sk/17330190" TargetMode="External"/><Relationship Id="rId58" Type="http://schemas.openxmlformats.org/officeDocument/2006/relationships/hyperlink" Target="https://www.finstat.sk/36016411" TargetMode="External"/><Relationship Id="rId74" Type="http://schemas.openxmlformats.org/officeDocument/2006/relationships/hyperlink" Target="https://www.slov-lex.sk/pravne-predpisy/SK/ZZ/2018/385/20190101.html" TargetMode="External"/><Relationship Id="rId79" Type="http://schemas.openxmlformats.org/officeDocument/2006/relationships/hyperlink" Target="https://www.mfsr.sk/sk/financie/statne-vykaznictvo/klucove-dokumenty-uctovne-zavierky/statny-zaverecny-ucet-sr/" TargetMode="External"/><Relationship Id="rId5" Type="http://schemas.openxmlformats.org/officeDocument/2006/relationships/hyperlink" Target="https://www.zssk.sk/wp-content/uploads/2021/10/Uctovna-zavierka-2020.pdf" TargetMode="External"/><Relationship Id="rId19" Type="http://schemas.openxmlformats.org/officeDocument/2006/relationships/hyperlink" Target="https://www.minv.sk/?celkovy-pocet-evidovanych-vozidiel-v-sr" TargetMode="External"/><Relationship Id="rId14" Type="http://schemas.openxmlformats.org/officeDocument/2006/relationships/hyperlink" Target="https://www.spp.sk/sk/domacnosti/plyn/tarify-a-ceny/" TargetMode="External"/><Relationship Id="rId22" Type="http://schemas.openxmlformats.org/officeDocument/2006/relationships/hyperlink" Target="https://www.teleoff.gov.sk/data/files/49811_vestnik7.pdf" TargetMode="External"/><Relationship Id="rId27" Type="http://schemas.openxmlformats.org/officeDocument/2006/relationships/hyperlink" Target="https://www.slaspo.sk/27722" TargetMode="External"/><Relationship Id="rId30" Type="http://schemas.openxmlformats.org/officeDocument/2006/relationships/hyperlink" Target="http://www.epi.sk/zz/2004-98" TargetMode="External"/><Relationship Id="rId35" Type="http://schemas.openxmlformats.org/officeDocument/2006/relationships/hyperlink" Target="https://www.finstat.sk/35919001/zavierka" TargetMode="External"/><Relationship Id="rId43" Type="http://schemas.openxmlformats.org/officeDocument/2006/relationships/hyperlink" Target="https://www.slov-lex.sk/pravne-predpisy/SK/ZZ/2004/564/20210101.html" TargetMode="External"/><Relationship Id="rId48" Type="http://schemas.openxmlformats.org/officeDocument/2006/relationships/hyperlink" Target="http://datacube.statistics.sk/" TargetMode="External"/><Relationship Id="rId56" Type="http://schemas.openxmlformats.org/officeDocument/2006/relationships/hyperlink" Target="https://www.finstat.sk/36007099" TargetMode="External"/><Relationship Id="rId64" Type="http://schemas.openxmlformats.org/officeDocument/2006/relationships/hyperlink" Target="http://www.statistics.sk/" TargetMode="External"/><Relationship Id="rId69" Type="http://schemas.openxmlformats.org/officeDocument/2006/relationships/hyperlink" Target="https://www.financnasprava.sk/_img/pfsedit/Dokumenty_PFS/Zverejnovanie_dok/Sprievodca/Sprievodca_danami/2018/2018.01.12_SPRIEVODCA%20DANAMI_%20DPH.pdf" TargetMode="External"/><Relationship Id="rId77" Type="http://schemas.openxmlformats.org/officeDocument/2006/relationships/hyperlink" Target="https://www.slov-lex.sk/pravne-predpisy/SK/ZZ/2003/595/20200101.html" TargetMode="External"/><Relationship Id="rId8" Type="http://schemas.openxmlformats.org/officeDocument/2006/relationships/hyperlink" Target="https://podpora.financnasprava.sk/181867-Stravovanie-zamestnancov" TargetMode="External"/><Relationship Id="rId51" Type="http://schemas.openxmlformats.org/officeDocument/2006/relationships/hyperlink" Target="https://www.mfsr.sk/sk/financie/statne-vykaznictvo/klucove-dokumenty-uctovne-zavierky/statny-zaverecny-ucet-sr/" TargetMode="External"/><Relationship Id="rId72" Type="http://schemas.openxmlformats.org/officeDocument/2006/relationships/hyperlink" Target="https://www.financnasprava.sk/_img/pfsedit/Dokumenty_PFS/Zverejnovanie_dok/Statistiky/Statny_rozpocet/2019/2020.01.08_PrijmySR_2019_12.pdf" TargetMode="External"/><Relationship Id="rId80" Type="http://schemas.openxmlformats.org/officeDocument/2006/relationships/hyperlink" Target="https://www.slov-lex.sk/pravne-predpisy/SK/ZZ/2004/43/20230101.html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http://www.minv.sk/?zmena-vlastnictva-vozidla" TargetMode="External"/><Relationship Id="rId12" Type="http://schemas.openxmlformats.org/officeDocument/2006/relationships/hyperlink" Target="https://www.mfsr.sk/sk/financie/statne-vykaznictvo/klucove-dokumenty-uctovne-zavierky/statny-zaverecny-ucet-sr/" TargetMode="External"/><Relationship Id="rId17" Type="http://schemas.openxmlformats.org/officeDocument/2006/relationships/hyperlink" Target="https://www.slov-lex.sk/pravne-predpisy/SK/ZZ/2012/340/" TargetMode="External"/><Relationship Id="rId25" Type="http://schemas.openxmlformats.org/officeDocument/2006/relationships/hyperlink" Target="https://www.minv.sk/?pocet-individualne-dovezenych-vozidiel" TargetMode="External"/><Relationship Id="rId33" Type="http://schemas.openxmlformats.org/officeDocument/2006/relationships/hyperlink" Target="https://www.spp.sk/sk/domacnosti/elektrina/ceny/cenniky-elektrickej-energie/" TargetMode="External"/><Relationship Id="rId38" Type="http://schemas.openxmlformats.org/officeDocument/2006/relationships/hyperlink" Target="https://www.slov-lex.sk/pravne-predpisy/SK/ZZ/2003/595/20210101.html" TargetMode="External"/><Relationship Id="rId46" Type="http://schemas.openxmlformats.org/officeDocument/2006/relationships/hyperlink" Target="http://datacube.statistics.sk/" TargetMode="External"/><Relationship Id="rId59" Type="http://schemas.openxmlformats.org/officeDocument/2006/relationships/hyperlink" Target="https://www.sadtn.sk/files/Vyrocna_%20sprava_2017.pdf" TargetMode="External"/><Relationship Id="rId67" Type="http://schemas.openxmlformats.org/officeDocument/2006/relationships/hyperlink" Target="https://www.teleoff.gov.sk/files/urad/vyrocne-spravy-vestniky/vyrocne-spravy/vyrocna-sprava-2025.pdf" TargetMode="External"/><Relationship Id="rId20" Type="http://schemas.openxmlformats.org/officeDocument/2006/relationships/hyperlink" Target="https://www.finstat.sk/35919001/zavierka" TargetMode="External"/><Relationship Id="rId41" Type="http://schemas.openxmlformats.org/officeDocument/2006/relationships/hyperlink" Target="https://www.slov-lex.sk/pravne-predpisy/SK/ZZ/2004/580/" TargetMode="External"/><Relationship Id="rId54" Type="http://schemas.openxmlformats.org/officeDocument/2006/relationships/hyperlink" Target="https://www.finstat.sk/00179710" TargetMode="External"/><Relationship Id="rId62" Type="http://schemas.openxmlformats.org/officeDocument/2006/relationships/hyperlink" Target="https://www.finstat.sk/31701914" TargetMode="External"/><Relationship Id="rId70" Type="http://schemas.openxmlformats.org/officeDocument/2006/relationships/hyperlink" Target="https://www.financnasprava.sk/_img/pfsedit/Dokumenty_PFS/Zverejnovanie_dok/Statistiky/Statny_rozpocet/2023/2024.01.03_prijmy_SR_2023_12.pdf" TargetMode="External"/><Relationship Id="rId75" Type="http://schemas.openxmlformats.org/officeDocument/2006/relationships/hyperlink" Target="https://www.slaspo.sk/30778" TargetMode="External"/><Relationship Id="rId83" Type="http://schemas.openxmlformats.org/officeDocument/2006/relationships/hyperlink" Target="https://www.slov-lex.sk/pravne-predpisy/SK/ZZ/2003/461/20210101.html" TargetMode="External"/><Relationship Id="rId1" Type="http://schemas.openxmlformats.org/officeDocument/2006/relationships/hyperlink" Target="http://www.poistovne.sk/30241-sk/ake-poplatky-vas-pri-dochodkovom-sporeni-v-2-pilieri-cakaju.php" TargetMode="External"/><Relationship Id="rId6" Type="http://schemas.openxmlformats.org/officeDocument/2006/relationships/hyperlink" Target="https://www.finstat.sk/35919001/zavierka" TargetMode="External"/><Relationship Id="rId15" Type="http://schemas.openxmlformats.org/officeDocument/2006/relationships/hyperlink" Target="https://www.spp.sk/sk/domacnosti/elektrina/dokumenty-a-tlaciva-na-stiahnutie/" TargetMode="External"/><Relationship Id="rId23" Type="http://schemas.openxmlformats.org/officeDocument/2006/relationships/hyperlink" Target="https://www.minv.sk/?celkovy-pocet-evidovanych-vozidiel-v-sr" TargetMode="External"/><Relationship Id="rId28" Type="http://schemas.openxmlformats.org/officeDocument/2006/relationships/hyperlink" Target="http://datacube.statistics.sk/" TargetMode="External"/><Relationship Id="rId36" Type="http://schemas.openxmlformats.org/officeDocument/2006/relationships/hyperlink" Target="https://www.mfsr.sk/sk/financie/statne-vykaznictvo/klucove-dokumenty-uctovne-zavierky/statny-zaverecny-ucet-sr/" TargetMode="External"/><Relationship Id="rId49" Type="http://schemas.openxmlformats.org/officeDocument/2006/relationships/hyperlink" Target="https://www.mfsr.sk/sk/financie/statne-vykaznictvo/klucove-dokumenty-uctovne-zavierky/statny-zaverecny-ucet-sr/" TargetMode="External"/><Relationship Id="rId57" Type="http://schemas.openxmlformats.org/officeDocument/2006/relationships/hyperlink" Target="https://finstat.sk/36545082" TargetMode="External"/><Relationship Id="rId10" Type="http://schemas.openxmlformats.org/officeDocument/2006/relationships/hyperlink" Target="https://www.mfsr.sk/sk/financie/statne-vykaznictvo/klucove-dokumenty-uctovne-zavierky/statny-zaverecny-ucet-sr/" TargetMode="External"/><Relationship Id="rId31" Type="http://schemas.openxmlformats.org/officeDocument/2006/relationships/hyperlink" Target="http://www.svetdopravy.sk/moznost-podpory-refundacie-spotrebnej-dane-z-mineralnych-olejov-na-uzemi-slovenskej-republiky/" TargetMode="External"/><Relationship Id="rId44" Type="http://schemas.openxmlformats.org/officeDocument/2006/relationships/hyperlink" Target="https://www.slov-lex.sk/pravne-predpisy/SK/ZZ/2004/564/20210101.html" TargetMode="External"/><Relationship Id="rId52" Type="http://schemas.openxmlformats.org/officeDocument/2006/relationships/hyperlink" Target="https://www.finance.gov.sk/sk/financie/statne-vykaznictvo/statny-zaverecny-ucet-sr/" TargetMode="External"/><Relationship Id="rId60" Type="http://schemas.openxmlformats.org/officeDocument/2006/relationships/hyperlink" Target="https://www.slaspo.sk/30778" TargetMode="External"/><Relationship Id="rId65" Type="http://schemas.openxmlformats.org/officeDocument/2006/relationships/hyperlink" Target="https://www.nielsen.com/sk/sk/insights/article/2019/slovaks-smoke-from-year-to-year-more/" TargetMode="External"/><Relationship Id="rId73" Type="http://schemas.openxmlformats.org/officeDocument/2006/relationships/hyperlink" Target="https://www.financnasprava.sk/_img/pfsedit/Dokumenty_PFS/Zverejnovanie_dok/Statistiky/Statny_rozpocet/2023/2024.01.03_prijmy_SR_2023_12.pdf" TargetMode="External"/><Relationship Id="rId78" Type="http://schemas.openxmlformats.org/officeDocument/2006/relationships/hyperlink" Target="https://www.mfsr.sk/sk/financie/statne-vykaznictvo/klucove-dokumenty-uctovne-zavierky/statny-zaverecny-ucet-sr/" TargetMode="External"/><Relationship Id="rId81" Type="http://schemas.openxmlformats.org/officeDocument/2006/relationships/hyperlink" Target="https://www.slov-lex.sk/pravne-predpisy/SK/ZZ/2003/461/20210101.html" TargetMode="External"/><Relationship Id="rId86" Type="http://schemas.openxmlformats.org/officeDocument/2006/relationships/drawing" Target="../drawings/drawing1.xml"/><Relationship Id="rId4" Type="http://schemas.openxmlformats.org/officeDocument/2006/relationships/hyperlink" Target="https://www.finstat.sk/35919001/zavierka" TargetMode="External"/><Relationship Id="rId9" Type="http://schemas.openxmlformats.org/officeDocument/2006/relationships/hyperlink" Target="https://www.vszp.sk/files/Vyr_spr/vyrocna-sprava-za-rok-2019.pdf" TargetMode="External"/><Relationship Id="rId13" Type="http://schemas.openxmlformats.org/officeDocument/2006/relationships/hyperlink" Target="https://www.geotherm.sk/usetrit-za-vodu/" TargetMode="External"/><Relationship Id="rId18" Type="http://schemas.openxmlformats.org/officeDocument/2006/relationships/hyperlink" Target="https://www.stkpezinok.sk/cennik-sluzieb-stk-pezinok" TargetMode="External"/><Relationship Id="rId39" Type="http://schemas.openxmlformats.org/officeDocument/2006/relationships/hyperlink" Target="http://datacube.statistics.sk/" TargetMode="External"/><Relationship Id="rId34" Type="http://schemas.openxmlformats.org/officeDocument/2006/relationships/hyperlink" Target="https://www.slov-lex.sk/pravne-predpisy/SK/ZZ/2004/43/20210101.html" TargetMode="External"/><Relationship Id="rId50" Type="http://schemas.openxmlformats.org/officeDocument/2006/relationships/hyperlink" Target="https://www.mfsr.sk/sk/financie/statne-vykaznictvo/klucove-dokumenty-uctovne-zavierky/statny-zaverecny-ucet-sr/" TargetMode="External"/><Relationship Id="rId55" Type="http://schemas.openxmlformats.org/officeDocument/2006/relationships/hyperlink" Target="https://www.finstat.sk/00492736/zavierka" TargetMode="External"/><Relationship Id="rId76" Type="http://schemas.openxmlformats.org/officeDocument/2006/relationships/hyperlink" Target="https://www.slov-lex.sk/pravne-predpisy/SK/ZZ/2001/311/20210101.html" TargetMode="External"/><Relationship Id="rId7" Type="http://schemas.openxmlformats.org/officeDocument/2006/relationships/hyperlink" Target="https://calendar.zoznam.sk/worktime-sksk.php?hy=2021" TargetMode="External"/><Relationship Id="rId71" Type="http://schemas.openxmlformats.org/officeDocument/2006/relationships/hyperlink" Target="https://www.finance.gov.sk/sk/financie/statne-vykaznictvo/statny-zaverecny-ucet-sr/" TargetMode="External"/><Relationship Id="rId2" Type="http://schemas.openxmlformats.org/officeDocument/2006/relationships/hyperlink" Target="https://www.minv.sk/?spravne-poplatky-1" TargetMode="External"/><Relationship Id="rId29" Type="http://schemas.openxmlformats.org/officeDocument/2006/relationships/hyperlink" Target="https://www.mfsr.sk/sk/financie/statne-vykaznictvo/klucove-dokumenty-uctovne-zavierky/statny-zaverecny-ucet-sr/" TargetMode="External"/><Relationship Id="rId24" Type="http://schemas.openxmlformats.org/officeDocument/2006/relationships/hyperlink" Target="https://www.minv.sk/?pocet-novoevidovanych-vozidiel" TargetMode="External"/><Relationship Id="rId40" Type="http://schemas.openxmlformats.org/officeDocument/2006/relationships/hyperlink" Target="https://www.socpoist.sk/socialne-poistenie/o-socialnej-poistovni/povinne-zverejnovanie/hospodarenie-socialnej-poistovne" TargetMode="External"/><Relationship Id="rId45" Type="http://schemas.openxmlformats.org/officeDocument/2006/relationships/hyperlink" Target="https://www.slov-lex.sk/pravne-predpisy/SK/ZZ/2004/564/20210101.html" TargetMode="External"/><Relationship Id="rId66" Type="http://schemas.openxmlformats.org/officeDocument/2006/relationships/hyperlink" Target="https://cdn-api.bratislava.sk/strapi-homepage/upload/Zaverecny_ucet_hlavneho_mesta_SR_Bratislavy_za_rok_2023_2371a2dabb.pdf" TargetMode="External"/><Relationship Id="rId61" Type="http://schemas.openxmlformats.org/officeDocument/2006/relationships/hyperlink" Target="https://www.nbs.sk/sk/statisticke-udaje/financne-institucie/banky/statisticke-udaje-penaznych-financnych-institucii" TargetMode="External"/><Relationship Id="rId82" Type="http://schemas.openxmlformats.org/officeDocument/2006/relationships/hyperlink" Target="https://www.slov-lex.sk/pravne-predpisy/SK/ZZ/2003/461/202101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D202"/>
  <sheetViews>
    <sheetView showGridLines="0" tabSelected="1" zoomScale="120" zoomScaleNormal="120" workbookViewId="0">
      <selection activeCell="A204" sqref="A204"/>
    </sheetView>
  </sheetViews>
  <sheetFormatPr defaultColWidth="8.88671875" defaultRowHeight="15" customHeight="1"/>
  <cols>
    <col min="1" max="1" width="56.88671875" style="22" customWidth="1"/>
    <col min="2" max="2" width="13" style="22" customWidth="1"/>
    <col min="3" max="3" width="9.44140625" style="22" customWidth="1"/>
    <col min="4" max="5" width="7.6640625" style="22" customWidth="1"/>
    <col min="6" max="6" width="7.109375" style="22" customWidth="1"/>
    <col min="7" max="7" width="7.6640625" style="22" customWidth="1"/>
    <col min="8" max="8" width="52.109375" style="22" hidden="1" customWidth="1"/>
    <col min="9" max="238" width="8.88671875" style="22" customWidth="1"/>
    <col min="239" max="16384" width="8.88671875" style="126"/>
  </cols>
  <sheetData>
    <row r="1" spans="1:8" ht="16.5" customHeight="1">
      <c r="A1" s="143" t="str">
        <f>"Daňové zaťaženie občana SR v roku 2025: " &amp;ROUND(E60*100,2)&amp;"%"</f>
        <v>Daňové zaťaženie občana SR v roku 2025: 63,59%</v>
      </c>
      <c r="B1" s="144"/>
      <c r="C1" s="145"/>
      <c r="D1" s="145"/>
      <c r="E1" s="145"/>
      <c r="F1" s="146"/>
      <c r="G1" s="147"/>
      <c r="H1" s="21"/>
    </row>
    <row r="2" spans="1:8" ht="22.5" customHeight="1">
      <c r="A2" s="148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149" t="s">
        <v>6</v>
      </c>
      <c r="H2" s="24" t="s">
        <v>7</v>
      </c>
    </row>
    <row r="3" spans="1:8" ht="14.7" customHeight="1">
      <c r="A3" s="150" t="str">
        <f>"Celková odmena patriaca zamestnancovi (pri priemernej hrubej mzde "&amp;$B$92&amp;" EUR)"</f>
        <v>Celková odmena patriaca zamestnancovi (pri priemernej hrubej mzde 1620 EUR)</v>
      </c>
      <c r="B3" s="25"/>
      <c r="C3" s="26"/>
      <c r="D3" s="26"/>
      <c r="E3" s="27"/>
      <c r="F3" s="28"/>
      <c r="G3" s="151">
        <f>$B$92*(1+$B$93)+$B$95/12*$B$96*$B$97+$B$185/12</f>
        <v>2324.4608333333331</v>
      </c>
      <c r="H3" s="29"/>
    </row>
    <row r="4" spans="1:8" ht="14.7" customHeight="1">
      <c r="A4" s="152" t="s">
        <v>8</v>
      </c>
      <c r="B4" s="30" t="s">
        <v>9</v>
      </c>
      <c r="C4" s="31">
        <f>-D4/G3</f>
        <v>3.7641345501985599E-2</v>
      </c>
      <c r="D4" s="32">
        <f>-($B$95-20)/12*$B$96*$B$97</f>
        <v>-87.495833333333351</v>
      </c>
      <c r="E4" s="31">
        <f t="shared" ref="E4:E60" si="0">-D4/$G$3</f>
        <v>3.7641345501985599E-2</v>
      </c>
      <c r="F4" s="30" t="s">
        <v>10</v>
      </c>
      <c r="G4" s="153">
        <f t="shared" ref="G4:G59" si="1">G3+D4</f>
        <v>2236.9649999999997</v>
      </c>
      <c r="H4" s="29"/>
    </row>
    <row r="5" spans="1:8" ht="14.7" customHeight="1">
      <c r="A5" s="154" t="s">
        <v>201</v>
      </c>
      <c r="B5" s="33" t="s">
        <v>9</v>
      </c>
      <c r="C5" s="34">
        <f>-D5/G3</f>
        <v>9.8589171037154512E-3</v>
      </c>
      <c r="D5" s="35">
        <f>-$B$185/12</f>
        <v>-22.916666666666668</v>
      </c>
      <c r="E5" s="34">
        <f t="shared" si="0"/>
        <v>9.8589171037154512E-3</v>
      </c>
      <c r="F5" s="33" t="s">
        <v>10</v>
      </c>
      <c r="G5" s="155">
        <f t="shared" si="1"/>
        <v>2214.0483333333332</v>
      </c>
      <c r="H5" s="29"/>
    </row>
    <row r="6" spans="1:8" ht="14.7" customHeight="1">
      <c r="A6" s="154" t="s">
        <v>11</v>
      </c>
      <c r="B6" s="33" t="s">
        <v>9</v>
      </c>
      <c r="C6" s="34">
        <f>-D6/G3</f>
        <v>0.21326235869034874</v>
      </c>
      <c r="D6" s="35">
        <f>-($B$99+$B$98-$B$100)*$B$92</f>
        <v>-495.7200000000002</v>
      </c>
      <c r="E6" s="34">
        <f t="shared" si="0"/>
        <v>0.21326235869034874</v>
      </c>
      <c r="F6" s="33" t="s">
        <v>12</v>
      </c>
      <c r="G6" s="155">
        <f t="shared" si="1"/>
        <v>1718.3283333333329</v>
      </c>
      <c r="H6" s="36"/>
    </row>
    <row r="7" spans="1:8" ht="14.7" customHeight="1">
      <c r="A7" s="154" t="str">
        <f>"Odvody do dôchodkovej správcovskej spoločnosti ("&amp;(100%-$B$101)&amp;""&amp;")"</f>
        <v>Odvody do dôchodkovej správcovskej spoločnosti (0,996)</v>
      </c>
      <c r="B7" s="33" t="s">
        <v>9</v>
      </c>
      <c r="C7" s="34">
        <f>-D7/G3</f>
        <v>2.7765922778508131E-2</v>
      </c>
      <c r="D7" s="35">
        <f>-$B$100*$B$92*(1-$B$101)</f>
        <v>-64.54079999999999</v>
      </c>
      <c r="E7" s="34">
        <f t="shared" si="0"/>
        <v>2.7765922778508131E-2</v>
      </c>
      <c r="F7" s="33" t="s">
        <v>12</v>
      </c>
      <c r="G7" s="155">
        <f t="shared" si="1"/>
        <v>1653.7875333333329</v>
      </c>
      <c r="H7" s="36"/>
    </row>
    <row r="8" spans="1:8" ht="14.7" customHeight="1">
      <c r="A8" s="154" t="str">
        <f>"Odvody do dôchodkovej správcovskej spoločnosti ("&amp;$B$101&amp;")"</f>
        <v>Odvody do dôchodkovej správcovskej spoločnosti (0,004)</v>
      </c>
      <c r="B8" s="33" t="s">
        <v>9</v>
      </c>
      <c r="C8" s="34">
        <f>-D8/G3</f>
        <v>1.1150973003416922E-4</v>
      </c>
      <c r="D8" s="35">
        <f>-$B$100*$B$92*$B$101</f>
        <v>-0.25919999999999999</v>
      </c>
      <c r="E8" s="34">
        <f t="shared" si="0"/>
        <v>1.1150973003416922E-4</v>
      </c>
      <c r="F8" s="33" t="s">
        <v>10</v>
      </c>
      <c r="G8" s="155">
        <f t="shared" si="1"/>
        <v>1653.528333333333</v>
      </c>
      <c r="H8" s="37" t="s">
        <v>13</v>
      </c>
    </row>
    <row r="9" spans="1:8" ht="14.7" customHeight="1">
      <c r="A9" s="154" t="str">
        <f>"Odvody do zdravotnej poisťovne ("&amp;(100%-B104)&amp;")"</f>
        <v>Odvody do zdravotnej poisťovne (0,99)</v>
      </c>
      <c r="B9" s="33" t="s">
        <v>9</v>
      </c>
      <c r="C9" s="34">
        <f>-D9/G3</f>
        <v>0.1034949681879633</v>
      </c>
      <c r="D9" s="35">
        <f>-($B$102+$B$103)*$B$92*(1-$B$104)</f>
        <v>-240.57</v>
      </c>
      <c r="E9" s="34">
        <f t="shared" si="0"/>
        <v>0.1034949681879633</v>
      </c>
      <c r="F9" s="33" t="s">
        <v>12</v>
      </c>
      <c r="G9" s="155">
        <f t="shared" si="1"/>
        <v>1412.958333333333</v>
      </c>
      <c r="H9" s="36"/>
    </row>
    <row r="10" spans="1:8" ht="14.7" customHeight="1">
      <c r="A10" s="154" t="str">
        <f>"Odvody do zdravotnej poisťovne ("&amp;$B104&amp;")"</f>
        <v>Odvody do zdravotnej poisťovne (0,01)</v>
      </c>
      <c r="B10" s="33" t="s">
        <v>9</v>
      </c>
      <c r="C10" s="34">
        <f>-D10/G3</f>
        <v>1.0454037190703366E-3</v>
      </c>
      <c r="D10" s="35">
        <f>-($B$102+$B$103)*$B$92*$B$104</f>
        <v>-2.4300000000000002</v>
      </c>
      <c r="E10" s="34">
        <f t="shared" si="0"/>
        <v>1.0454037190703366E-3</v>
      </c>
      <c r="F10" s="33" t="s">
        <v>10</v>
      </c>
      <c r="G10" s="155">
        <f t="shared" si="1"/>
        <v>1410.528333333333</v>
      </c>
      <c r="H10" s="36"/>
    </row>
    <row r="11" spans="1:8" ht="14.7" customHeight="1">
      <c r="A11" s="154" t="str">
        <f>"Daň z príjmov fyzických osôb ("&amp;$B$107&amp;")"</f>
        <v>Daň z príjmov fyzických osôb (0)</v>
      </c>
      <c r="B11" s="33" t="s">
        <v>9</v>
      </c>
      <c r="C11" s="34">
        <f>-D11/G3</f>
        <v>0</v>
      </c>
      <c r="D11" s="35">
        <f>-$B$105/$B$106/12*$B$107</f>
        <v>0</v>
      </c>
      <c r="E11" s="34">
        <f t="shared" si="0"/>
        <v>0</v>
      </c>
      <c r="F11" s="33" t="s">
        <v>12</v>
      </c>
      <c r="G11" s="155">
        <f t="shared" si="1"/>
        <v>1410.528333333333</v>
      </c>
      <c r="H11" s="36"/>
    </row>
    <row r="12" spans="1:8" ht="14.7" customHeight="1">
      <c r="A12" s="154" t="str">
        <f>"Daň z príjmov fyzických osôb ("&amp;$B$108&amp;")"</f>
        <v>Daň z príjmov fyzických osôb (0,3)</v>
      </c>
      <c r="B12" s="33" t="s">
        <v>9</v>
      </c>
      <c r="C12" s="34">
        <f>-D12/G3</f>
        <v>2.0442421357191647E-2</v>
      </c>
      <c r="D12" s="35">
        <f>-$B$105/$B$106/12*$B$108</f>
        <v>-47.517607783288824</v>
      </c>
      <c r="E12" s="34">
        <f t="shared" si="0"/>
        <v>2.0442421357191647E-2</v>
      </c>
      <c r="F12" s="33" t="s">
        <v>14</v>
      </c>
      <c r="G12" s="155">
        <f t="shared" si="1"/>
        <v>1363.0107255500441</v>
      </c>
      <c r="H12" s="36"/>
    </row>
    <row r="13" spans="1:8" ht="14.7" customHeight="1">
      <c r="A13" s="156" t="str">
        <f>"Daň z príjmov fyzických osôb ("&amp;$B$109&amp;")"</f>
        <v>Daň z príjmov fyzických osôb (0,7)</v>
      </c>
      <c r="B13" s="38" t="s">
        <v>9</v>
      </c>
      <c r="C13" s="39">
        <f>-D13/G3</f>
        <v>4.7698983166780513E-2</v>
      </c>
      <c r="D13" s="40">
        <f>-$B$105/$B$106/12*$B$109</f>
        <v>-110.87441816100726</v>
      </c>
      <c r="E13" s="39">
        <f t="shared" si="0"/>
        <v>4.7698983166780513E-2</v>
      </c>
      <c r="F13" s="38" t="s">
        <v>15</v>
      </c>
      <c r="G13" s="157">
        <f t="shared" si="1"/>
        <v>1252.1363073890368</v>
      </c>
      <c r="H13" s="29"/>
    </row>
    <row r="14" spans="1:8" ht="14.7" customHeight="1">
      <c r="A14" s="154" t="s">
        <v>252</v>
      </c>
      <c r="B14" s="42" t="s">
        <v>16</v>
      </c>
      <c r="C14" s="43">
        <f>$B$117*$B$113/($B$113+$B$114)+$B$118*($B$114/($B$113+$B$114))</f>
        <v>1.0097344480504855</v>
      </c>
      <c r="D14" s="32">
        <f>-C$14*($B$115*$B$113/($B$113+$B$114)+$B$116*$B$114/($B$113+$B$114))*(($B$113+$B$114)/SUM($B$110:$B$112))/12</f>
        <v>-4.1258149774767299</v>
      </c>
      <c r="E14" s="31">
        <f t="shared" si="0"/>
        <v>1.7749556879219218E-3</v>
      </c>
      <c r="F14" s="30" t="s">
        <v>15</v>
      </c>
      <c r="G14" s="153">
        <f t="shared" si="1"/>
        <v>1248.0104924115601</v>
      </c>
      <c r="H14" s="44"/>
    </row>
    <row r="15" spans="1:8" ht="14.7" customHeight="1">
      <c r="A15" s="154" t="str">
        <f>"Poplatok za komunálny odpad (" &amp; ROUND((B106-B112)/(B113+B114),2) &amp; " osoby/" &amp; ROUND(C15,2) &amp;"/nehnuteľ./rok)"</f>
        <v>Poplatok za komunálny odpad (0,7 osoby/51,73/nehnuteľ./rok)</v>
      </c>
      <c r="B15" s="45" t="s">
        <v>16</v>
      </c>
      <c r="C15" s="35">
        <v>51.734437499999991</v>
      </c>
      <c r="D15" s="35">
        <f>-$C15/12*$B$119/SUM($B$110:$B$112)</f>
        <v>-5.7918975612534753</v>
      </c>
      <c r="E15" s="34">
        <f t="shared" si="0"/>
        <v>2.4917165642011504E-3</v>
      </c>
      <c r="F15" s="33" t="s">
        <v>15</v>
      </c>
      <c r="G15" s="155">
        <f t="shared" si="1"/>
        <v>1242.2185948503065</v>
      </c>
      <c r="H15" s="36"/>
    </row>
    <row r="16" spans="1:8" ht="14.4" customHeight="1">
      <c r="A16" s="154" t="s">
        <v>17</v>
      </c>
      <c r="B16" s="45" t="s">
        <v>16</v>
      </c>
      <c r="C16" s="35">
        <f>$B$120</f>
        <v>34.216250000000002</v>
      </c>
      <c r="D16" s="35">
        <f>-C16*0.4/12/SUM($B$110:$B$112)</f>
        <v>-0.28325910833306844</v>
      </c>
      <c r="E16" s="34">
        <f t="shared" si="0"/>
        <v>1.2186013387322514E-4</v>
      </c>
      <c r="F16" s="33" t="s">
        <v>15</v>
      </c>
      <c r="G16" s="155">
        <f t="shared" si="1"/>
        <v>1241.9353357419734</v>
      </c>
      <c r="H16" s="46" t="s">
        <v>18</v>
      </c>
    </row>
    <row r="17" spans="1:8" ht="14.7" hidden="1" customHeight="1">
      <c r="A17" s="154" t="s">
        <v>19</v>
      </c>
      <c r="B17" s="45" t="s">
        <v>16</v>
      </c>
      <c r="C17" s="35">
        <f>$B$136</f>
        <v>0</v>
      </c>
      <c r="D17" s="35">
        <f>-(C17*$B$110+C17/2*($B$112+$B$111))/(SUM($B$110:$B$112))*(($B$113+$B$114)/($B$110+$B$111+$B$112))</f>
        <v>0</v>
      </c>
      <c r="E17" s="34">
        <f t="shared" si="0"/>
        <v>0</v>
      </c>
      <c r="F17" s="33" t="s">
        <v>12</v>
      </c>
      <c r="G17" s="155">
        <f t="shared" si="1"/>
        <v>1241.9353357419734</v>
      </c>
      <c r="H17" s="36"/>
    </row>
    <row r="18" spans="1:8" ht="14.7" customHeight="1">
      <c r="A18" s="154" t="str">
        <f>"Daň z príjmov vyberaná zrážkou ("&amp;ROUND($B$122/1000,2)&amp;" mld. EUR úspor obyvateľstva v bankách a podielových fondoch)"</f>
        <v>Daň z príjmov vyberaná zrážkou (65,35 mld. EUR úspor obyvateľstva v bankách a podielových fondoch)</v>
      </c>
      <c r="B18" s="45" t="s">
        <v>16</v>
      </c>
      <c r="C18" s="34">
        <f>$B$121/$B$122</f>
        <v>8.4113209731748271E-3</v>
      </c>
      <c r="D18" s="35">
        <f>-$B$121/12/SUM($B$110:$B$112)</f>
        <v>-11.375709798296086</v>
      </c>
      <c r="E18" s="34">
        <f t="shared" si="0"/>
        <v>4.8939133046105327E-3</v>
      </c>
      <c r="F18" s="33" t="s">
        <v>12</v>
      </c>
      <c r="G18" s="155">
        <f>G17+D18</f>
        <v>1230.5596259436772</v>
      </c>
      <c r="H18" s="36"/>
    </row>
    <row r="19" spans="1:8" ht="14.7" customHeight="1">
      <c r="A19" s="154" t="str">
        <f>"Povinné zmluvné poistenie zodp. za škodu spôsobenú prevádz. mot. vozidla (priemer  ("&amp;ROUND($B$123,3)&amp;")/rok)  (92%)"</f>
        <v>Povinné zmluvné poistenie zodp. za škodu spôsobenú prevádz. mot. vozidla (priemer  (133,974)/rok)  (92%)</v>
      </c>
      <c r="B19" s="45" t="s">
        <v>16</v>
      </c>
      <c r="C19" s="35">
        <f>$B$123*92%</f>
        <v>123.25629861350652</v>
      </c>
      <c r="D19" s="35">
        <f>-C19/12*($B$124*$B$128/SUM($B$110:$B$112))</f>
        <v>-6.9449169465747218</v>
      </c>
      <c r="E19" s="34">
        <f t="shared" si="0"/>
        <v>2.987753911351366E-3</v>
      </c>
      <c r="F19" s="33" t="s">
        <v>10</v>
      </c>
      <c r="G19" s="155">
        <f t="shared" si="1"/>
        <v>1223.6147089971025</v>
      </c>
      <c r="H19" s="36"/>
    </row>
    <row r="20" spans="1:8" ht="14.7" customHeight="1">
      <c r="A20" s="154" t="s">
        <v>37</v>
      </c>
      <c r="B20" s="33" t="s">
        <v>16</v>
      </c>
      <c r="C20" s="35">
        <f>$B$131/1.2</f>
        <v>70</v>
      </c>
      <c r="D20" s="35">
        <f>-C20/24*($B$124*$B$128)/SUM($B$110:$B$112)</f>
        <v>-1.9720865859546362</v>
      </c>
      <c r="E20" s="34">
        <f>-D20/$G$3</f>
        <v>8.4840602933567875E-4</v>
      </c>
      <c r="F20" s="33" t="s">
        <v>10</v>
      </c>
      <c r="G20" s="155">
        <f t="shared" si="1"/>
        <v>1221.6426224111478</v>
      </c>
      <c r="H20" s="46" t="s">
        <v>38</v>
      </c>
    </row>
    <row r="21" spans="1:8" ht="14.7" customHeight="1">
      <c r="A21" s="154" t="s">
        <v>224</v>
      </c>
      <c r="B21" s="45" t="s">
        <v>16</v>
      </c>
      <c r="C21" s="35">
        <v>0</v>
      </c>
      <c r="D21" s="35">
        <f>-C21/12*($B$124*$B$128/SUM($B$110:$B$112))</f>
        <v>0</v>
      </c>
      <c r="E21" s="34">
        <f t="shared" si="0"/>
        <v>0</v>
      </c>
      <c r="F21" s="33" t="s">
        <v>12</v>
      </c>
      <c r="G21" s="155">
        <f t="shared" si="1"/>
        <v>1221.6426224111478</v>
      </c>
      <c r="H21" s="36"/>
    </row>
    <row r="22" spans="1:8" ht="14.7" customHeight="1">
      <c r="A22" s="158" t="s">
        <v>20</v>
      </c>
      <c r="B22" s="47" t="s">
        <v>16</v>
      </c>
      <c r="C22" s="48">
        <f>-D22</f>
        <v>1.7842436699303812</v>
      </c>
      <c r="D22" s="48">
        <f>-($B$175)/12/SUM($B$110:$B$112)</f>
        <v>-1.7842436699303812</v>
      </c>
      <c r="E22" s="49">
        <f t="shared" si="0"/>
        <v>7.675946371493524E-4</v>
      </c>
      <c r="F22" s="50" t="s">
        <v>12</v>
      </c>
      <c r="G22" s="159">
        <f>G21+D22</f>
        <v>1219.8583787412174</v>
      </c>
      <c r="H22" s="36"/>
    </row>
    <row r="23" spans="1:8" ht="14.7" customHeight="1">
      <c r="A23" s="154" t="str">
        <f>"Registračná daň na automobil ("&amp;ROUND($B$125*1000,1)&amp;" tis. nových + "&amp;ROUND($B$126*1000,1)&amp;" tis. dovezených os. automobilov ročne)"</f>
        <v>Registračná daň na automobil (915,4 tis. nových + 61,8 tis. dovezených os. automobilov ročne)</v>
      </c>
      <c r="B23" s="33" t="s">
        <v>21</v>
      </c>
      <c r="C23" s="51">
        <f>$B$129</f>
        <v>33</v>
      </c>
      <c r="D23" s="35">
        <f>-C23/12*(($B$125+$B$126)/SUM($B$110:$B$112))</f>
        <v>-0.66745260643497473</v>
      </c>
      <c r="E23" s="34">
        <f t="shared" si="0"/>
        <v>2.8714297821823547E-4</v>
      </c>
      <c r="F23" s="33" t="s">
        <v>12</v>
      </c>
      <c r="G23" s="155">
        <f t="shared" si="1"/>
        <v>1219.1909261347823</v>
      </c>
      <c r="H23" s="52"/>
    </row>
    <row r="24" spans="1:8" ht="14.7" customHeight="1">
      <c r="A24" s="160" t="str">
        <f>"Registrácia zmeny majiteľa mot. vozidla ("&amp;ROUND($B$127*1000,1)&amp;" tis. os. automobilov ročne)"</f>
        <v>Registrácia zmeny majiteľa mot. vozidla (354,4 tis. os. automobilov ročne)</v>
      </c>
      <c r="B24" s="33" t="s">
        <v>21</v>
      </c>
      <c r="C24" s="51">
        <f>$B$130</f>
        <v>12</v>
      </c>
      <c r="D24" s="35">
        <f>-C24/12*(($B$127)/SUM($B$110:$B$112))</f>
        <v>-8.8006793003147149E-2</v>
      </c>
      <c r="E24" s="34">
        <f t="shared" si="0"/>
        <v>3.7861164077754444E-5</v>
      </c>
      <c r="F24" s="33" t="s">
        <v>12</v>
      </c>
      <c r="G24" s="155">
        <f t="shared" si="1"/>
        <v>1219.1029193417792</v>
      </c>
      <c r="H24" s="36"/>
    </row>
    <row r="25" spans="1:8" ht="14.7" customHeight="1">
      <c r="A25" s="154" t="s">
        <v>22</v>
      </c>
      <c r="B25" s="33" t="s">
        <v>21</v>
      </c>
      <c r="C25" s="35">
        <f>-D25</f>
        <v>4.046828123013162</v>
      </c>
      <c r="D25" s="35">
        <f>-($B$133-($B$129*($B$125+$B$126))-$B$127)/(SUM($B$110:$B$112))/12+ABS(D23)+ABS(D24)</f>
        <v>-4.046828123013162</v>
      </c>
      <c r="E25" s="34">
        <f t="shared" si="0"/>
        <v>1.7409749671754686E-3</v>
      </c>
      <c r="F25" s="33" t="s">
        <v>12</v>
      </c>
      <c r="G25" s="155">
        <f t="shared" si="1"/>
        <v>1215.0560912187659</v>
      </c>
      <c r="H25" s="36"/>
    </row>
    <row r="26" spans="1:8" ht="14.7" customHeight="1">
      <c r="A26" s="154" t="s">
        <v>25</v>
      </c>
      <c r="B26" s="33" t="s">
        <v>21</v>
      </c>
      <c r="C26" s="35">
        <f>-D26</f>
        <v>7.656077807271302</v>
      </c>
      <c r="D26" s="35">
        <f>-$B$134/SUM($B$110:$B$112)/12</f>
        <v>-7.656077807271302</v>
      </c>
      <c r="E26" s="34">
        <f t="shared" si="0"/>
        <v>3.2937004992647269E-3</v>
      </c>
      <c r="F26" s="33" t="s">
        <v>12</v>
      </c>
      <c r="G26" s="155">
        <f t="shared" si="1"/>
        <v>1207.4000134114947</v>
      </c>
      <c r="H26" s="36"/>
    </row>
    <row r="27" spans="1:8" ht="14.7" customHeight="1">
      <c r="A27" s="154" t="s">
        <v>26</v>
      </c>
      <c r="B27" s="33" t="s">
        <v>21</v>
      </c>
      <c r="C27" s="35">
        <f>-D27</f>
        <v>0.29787566327314535</v>
      </c>
      <c r="D27" s="35">
        <f>-$B$135/12/SUM($B$110:$B$112)</f>
        <v>-0.29787566327314535</v>
      </c>
      <c r="E27" s="34">
        <f t="shared" si="0"/>
        <v>1.2814828238941951E-4</v>
      </c>
      <c r="F27" s="33" t="s">
        <v>12</v>
      </c>
      <c r="G27" s="155">
        <f t="shared" si="1"/>
        <v>1207.1021377482216</v>
      </c>
      <c r="H27" s="29"/>
    </row>
    <row r="28" spans="1:8" ht="14.7" customHeight="1">
      <c r="A28" s="154" t="s">
        <v>27</v>
      </c>
      <c r="B28" s="33" t="s">
        <v>21</v>
      </c>
      <c r="C28" s="34">
        <f>-D28/G27</f>
        <v>0.15895710681244749</v>
      </c>
      <c r="D28" s="35">
        <f>-(G27-G27/(1+B176))</f>
        <v>-191.87746344357777</v>
      </c>
      <c r="E28" s="34">
        <f t="shared" si="0"/>
        <v>8.2547083905225818E-2</v>
      </c>
      <c r="F28" s="33" t="s">
        <v>12</v>
      </c>
      <c r="G28" s="155">
        <f t="shared" si="1"/>
        <v>1015.2246743046438</v>
      </c>
      <c r="H28" s="36"/>
    </row>
    <row r="29" spans="1:8" ht="14.7" customHeight="1">
      <c r="A29" s="154" t="str">
        <f>"Spotrebná daň z piva (priemerná spotreba "&amp;B177&amp;"/l/rok)"</f>
        <v>Spotrebná daň z piva (priemerná spotreba 54,2/l/rok)</v>
      </c>
      <c r="B29" s="33" t="s">
        <v>21</v>
      </c>
      <c r="C29" s="53">
        <f>3.587*4.2%*$B$177/100</f>
        <v>8.1654468000000022E-2</v>
      </c>
      <c r="D29" s="35">
        <f>-C29*$B$177*$B$119/SUM($B$110:$B$112)/12</f>
        <v>-0.49547344209253336</v>
      </c>
      <c r="E29" s="34">
        <f t="shared" si="0"/>
        <v>2.1315628768070591E-4</v>
      </c>
      <c r="F29" s="33" t="s">
        <v>12</v>
      </c>
      <c r="G29" s="155">
        <f t="shared" si="1"/>
        <v>1014.7292008625512</v>
      </c>
      <c r="H29" s="46" t="s">
        <v>28</v>
      </c>
    </row>
    <row r="30" spans="1:8" ht="14.7" customHeight="1">
      <c r="A30" s="154" t="str">
        <f>"Spotrebná daň z liehu (priemerná spotreba "&amp;B178&amp;"/l/rok)"</f>
        <v>Spotrebná daň z liehu (priemerná spotreba 7,4/l/rok)</v>
      </c>
      <c r="B30" s="33" t="s">
        <v>21</v>
      </c>
      <c r="C30" s="53">
        <f>40%*1490.4/100</f>
        <v>5.9616000000000007</v>
      </c>
      <c r="D30" s="35">
        <f>-C30*$B$178*$B$119/SUM($B$110:$B$112)/12</f>
        <v>-4.9389621006055897</v>
      </c>
      <c r="E30" s="34">
        <f t="shared" si="0"/>
        <v>2.1247775095969237E-3</v>
      </c>
      <c r="F30" s="33" t="s">
        <v>12</v>
      </c>
      <c r="G30" s="155">
        <f t="shared" si="1"/>
        <v>1009.7902387619456</v>
      </c>
      <c r="H30" s="46" t="s">
        <v>28</v>
      </c>
    </row>
    <row r="31" spans="1:8" ht="14.7" customHeight="1">
      <c r="A31" s="154" t="s">
        <v>195</v>
      </c>
      <c r="B31" s="33" t="s">
        <v>21</v>
      </c>
      <c r="C31" s="54">
        <f>184/1000</f>
        <v>0.184</v>
      </c>
      <c r="D31" s="35">
        <f>-C31*$B$179*$B$119/SUM($B$110:$B$112)/12</f>
        <v>-26.801467082048514</v>
      </c>
      <c r="E31" s="34">
        <f t="shared" si="0"/>
        <v>1.1530186569594534E-2</v>
      </c>
      <c r="F31" s="33" t="s">
        <v>12</v>
      </c>
      <c r="G31" s="155">
        <f t="shared" si="1"/>
        <v>982.98877167989713</v>
      </c>
      <c r="H31" s="46" t="s">
        <v>29</v>
      </c>
    </row>
    <row r="32" spans="1:8" ht="14.7" customHeight="1">
      <c r="A32" s="154" t="str">
        <f>"Spotrebná daň z elektriny (spotreba " &amp;ROUND(B137,2)&amp;" MWh/mesiac)"</f>
        <v>Spotrebná daň z elektriny (spotreba 0,42 MWh/mesiac)</v>
      </c>
      <c r="B32" s="33" t="s">
        <v>21</v>
      </c>
      <c r="C32" s="51">
        <v>1.32</v>
      </c>
      <c r="D32" s="35">
        <f>-C32*$B$137*($B$113+$B$114)/SUM($B$110:$B$112)</f>
        <v>-0.28620189327216239</v>
      </c>
      <c r="E32" s="34">
        <f t="shared" si="0"/>
        <v>1.2312614141221813E-4</v>
      </c>
      <c r="F32" s="33" t="s">
        <v>12</v>
      </c>
      <c r="G32" s="155">
        <f t="shared" si="1"/>
        <v>982.70256978662496</v>
      </c>
      <c r="H32" s="46" t="s">
        <v>30</v>
      </c>
    </row>
    <row r="33" spans="1:8" ht="14.7" customHeight="1">
      <c r="A33" s="154" t="str">
        <f>"Distribučné poplatky za elektrinu (spotreba " &amp;ROUND(B137,2) &amp;" MWh/mesiac) (51%)"</f>
        <v>Distribučné poplatky za elektrinu (spotreba 0,42 MWh/mesiac) (51%)</v>
      </c>
      <c r="B33" s="33" t="s">
        <v>21</v>
      </c>
      <c r="C33" s="51">
        <f>($B$139+$B$138/$B$137)*51%</f>
        <v>37.445556791057022</v>
      </c>
      <c r="D33" s="35">
        <f>-C33*$B$137*($B$113+$B$114)/SUM($B$110:$B$112)</f>
        <v>-8.1189312486596954</v>
      </c>
      <c r="E33" s="34">
        <f t="shared" si="0"/>
        <v>3.4928234247840399E-3</v>
      </c>
      <c r="F33" s="33" t="s">
        <v>12</v>
      </c>
      <c r="G33" s="155">
        <f t="shared" si="1"/>
        <v>974.58363853796527</v>
      </c>
      <c r="H33" s="36"/>
    </row>
    <row r="34" spans="1:8" ht="14.7" customHeight="1">
      <c r="A34" s="154" t="str">
        <f>"Distribučné poplatky za elektrinu (spotreba " &amp;ROUND(B137,2) &amp;" MWh/mesiac) (49%)"</f>
        <v>Distribučné poplatky za elektrinu (spotreba 0,42 MWh/mesiac) (49%)</v>
      </c>
      <c r="B34" s="33" t="s">
        <v>21</v>
      </c>
      <c r="C34" s="51">
        <f>($B$139+$B$138/$B$137)*49%</f>
        <v>35.977103583564592</v>
      </c>
      <c r="D34" s="35">
        <f>-C34*$B$137*($B$113+$B$114)/SUM($B$110:$B$112)</f>
        <v>-7.8005417879279415</v>
      </c>
      <c r="E34" s="34">
        <f t="shared" si="0"/>
        <v>3.3558499571454494E-3</v>
      </c>
      <c r="F34" s="33" t="s">
        <v>10</v>
      </c>
      <c r="G34" s="155">
        <f t="shared" si="1"/>
        <v>966.78309675003732</v>
      </c>
      <c r="H34" s="36"/>
    </row>
    <row r="35" spans="1:8" ht="14.7" customHeight="1">
      <c r="A35" s="154" t="str">
        <f>"Spotrebná daň zo zemného plynu (spotreba "&amp;ROUND(B163,2)&amp;" MWh/rok)"</f>
        <v>Spotrebná daň zo zemného plynu (spotreba 11,75 MWh/rok)</v>
      </c>
      <c r="B35" s="33" t="s">
        <v>21</v>
      </c>
      <c r="C35" s="51">
        <v>1.32</v>
      </c>
      <c r="D35" s="35">
        <f>-C35*$C$163*($B$113+$B$114)/SUM($B$110:$B$112)</f>
        <v>-5.709255817219308</v>
      </c>
      <c r="E35" s="34">
        <f t="shared" si="0"/>
        <v>2.4561634833107069E-3</v>
      </c>
      <c r="F35" s="33" t="s">
        <v>12</v>
      </c>
      <c r="G35" s="155">
        <f t="shared" si="1"/>
        <v>961.07384093281803</v>
      </c>
      <c r="H35" s="36"/>
    </row>
    <row r="36" spans="1:8" ht="14.7" customHeight="1">
      <c r="A36" s="154" t="str">
        <f>"Distribučné poplatky za plyn (spotreba "&amp;ROUND(B163,2)&amp;" MWh/rok) (51%)"</f>
        <v>Distribučné poplatky za plyn (spotreba 11,75 MWh/rok) (51%)</v>
      </c>
      <c r="B36" s="33" t="s">
        <v>21</v>
      </c>
      <c r="C36" s="51">
        <f>($B$140+$B$141)*51%</f>
        <v>33.777825312132435</v>
      </c>
      <c r="D36" s="35">
        <f>-C36*$C$163/12*($B$113+$B$114)/SUM($B$110:$B$112)</f>
        <v>-12.174636720726619</v>
      </c>
      <c r="E36" s="34">
        <f t="shared" si="0"/>
        <v>5.2376174922542772E-3</v>
      </c>
      <c r="F36" s="33" t="s">
        <v>12</v>
      </c>
      <c r="G36" s="155">
        <f t="shared" si="1"/>
        <v>948.89920421209138</v>
      </c>
      <c r="H36" s="36"/>
    </row>
    <row r="37" spans="1:8" ht="14.7" customHeight="1">
      <c r="A37" s="154" t="str">
        <f>"Distribučné poplatky za plyn (spotreba "&amp;ROUND(B163,2)&amp;" MWh/rok) (49%)"</f>
        <v>Distribučné poplatky za plyn (spotreba 11,75 MWh/rok) (49%)</v>
      </c>
      <c r="B37" s="33" t="s">
        <v>21</v>
      </c>
      <c r="C37" s="51">
        <f>($B$140+$B$141)*49%</f>
        <v>32.453204711656653</v>
      </c>
      <c r="D37" s="35">
        <f>-C37*$C$163/12*($B$113+$B$114)/SUM($B$110:$B$112)</f>
        <v>-11.697199986580479</v>
      </c>
      <c r="E37" s="34">
        <f t="shared" si="0"/>
        <v>5.0322207278521497E-3</v>
      </c>
      <c r="F37" s="33" t="s">
        <v>10</v>
      </c>
      <c r="G37" s="155">
        <f t="shared" si="1"/>
        <v>937.2020042255109</v>
      </c>
      <c r="H37" s="36"/>
    </row>
    <row r="38" spans="1:8" ht="14.7" customHeight="1">
      <c r="A38" s="160" t="s">
        <v>31</v>
      </c>
      <c r="B38" s="33" t="s">
        <v>21</v>
      </c>
      <c r="C38" s="56">
        <v>0.51400000000000001</v>
      </c>
      <c r="D38" s="35">
        <f>-C38*$B$142/12*($B$124*$B$128/SUM($B$110:$B$112))</f>
        <v>-28.237462644319034</v>
      </c>
      <c r="E38" s="34">
        <f t="shared" si="0"/>
        <v>1.2147962331473586E-2</v>
      </c>
      <c r="F38" s="33" t="s">
        <v>12</v>
      </c>
      <c r="G38" s="155">
        <f t="shared" si="1"/>
        <v>908.96454158119184</v>
      </c>
      <c r="H38" s="36"/>
    </row>
    <row r="39" spans="1:8" ht="14.7" customHeight="1">
      <c r="A39" s="160" t="s">
        <v>32</v>
      </c>
      <c r="B39" s="33" t="s">
        <v>21</v>
      </c>
      <c r="C39" s="54">
        <f>0.003705</f>
        <v>3.705E-3</v>
      </c>
      <c r="D39" s="35">
        <f>-C39*$B$142/12*($B$124*$B$128/SUM($B$110:$B$112))</f>
        <v>-0.20354046516965374</v>
      </c>
      <c r="E39" s="34">
        <f t="shared" si="0"/>
        <v>8.7564592292042103E-5</v>
      </c>
      <c r="F39" s="33" t="s">
        <v>12</v>
      </c>
      <c r="G39" s="155">
        <f t="shared" si="1"/>
        <v>908.76100111602216</v>
      </c>
      <c r="H39" s="46" t="s">
        <v>33</v>
      </c>
    </row>
    <row r="40" spans="1:8" ht="14.7" customHeight="1">
      <c r="A40" s="154" t="s">
        <v>34</v>
      </c>
      <c r="B40" s="33" t="s">
        <v>21</v>
      </c>
      <c r="C40" s="35">
        <f>1.8241+1.7644+0.9967</f>
        <v>4.5851999999999995</v>
      </c>
      <c r="D40" s="35">
        <f>-C40*$B$143/12*(($B$113+$B$114)/SUM($B$110:$B$112))</f>
        <v>-21.641931029360091</v>
      </c>
      <c r="E40" s="34">
        <f t="shared" si="0"/>
        <v>9.3105165374307627E-3</v>
      </c>
      <c r="F40" s="33" t="s">
        <v>15</v>
      </c>
      <c r="G40" s="155">
        <f t="shared" si="1"/>
        <v>887.11907008666208</v>
      </c>
      <c r="H40" s="46" t="s">
        <v>35</v>
      </c>
    </row>
    <row r="41" spans="1:8" ht="21.75" customHeight="1">
      <c r="A41" s="161" t="str">
        <f>"Potvrdenie o prevzatí zodpovednosti za nakladanie s odpadom z vozidla ("&amp;ROUND(B125*1000,1)&amp;" tis. nových + "&amp;ROUND(B126*1000,1)&amp;" tis. dovezených os. automobilov ročne)"</f>
        <v>Potvrdenie o prevzatí zodpovednosti za nakladanie s odpadom z vozidla (915,4 tis. nových + 61,8 tis. dovezených os. automobilov ročne)</v>
      </c>
      <c r="B41" s="33" t="s">
        <v>21</v>
      </c>
      <c r="C41" s="51">
        <v>50</v>
      </c>
      <c r="D41" s="35">
        <f>-C41/12*(($B$125+$B$126)/SUM($B$110:$B$112))</f>
        <v>-1.01129182793178</v>
      </c>
      <c r="E41" s="34">
        <f t="shared" si="0"/>
        <v>4.3506511851247804E-4</v>
      </c>
      <c r="F41" s="33" t="s">
        <v>12</v>
      </c>
      <c r="G41" s="155">
        <f t="shared" si="1"/>
        <v>886.10777825873026</v>
      </c>
      <c r="H41" s="46" t="s">
        <v>36</v>
      </c>
    </row>
    <row r="42" spans="1:8" ht="14.7" customHeight="1">
      <c r="A42" s="154" t="str">
        <f>"Kontrola originality ("&amp;ROUND($B$126*1000,1)&amp;" tis. dovezených os. automobilov ročne)"</f>
        <v>Kontrola originality (61,8 tis. dovezených os. automobilov ročne)</v>
      </c>
      <c r="B42" s="33" t="s">
        <v>21</v>
      </c>
      <c r="C42" s="35">
        <f>$B$132/1.2</f>
        <v>91.666666666666671</v>
      </c>
      <c r="D42" s="35">
        <f>-C42/12*$B$126/SUM($B$110:$B$112)</f>
        <v>-0.11730301952091568</v>
      </c>
      <c r="E42" s="34">
        <f t="shared" si="0"/>
        <v>5.046461434787882E-5</v>
      </c>
      <c r="F42" s="33" t="s">
        <v>10</v>
      </c>
      <c r="G42" s="155">
        <f t="shared" si="1"/>
        <v>885.99047523920933</v>
      </c>
      <c r="H42" s="36"/>
    </row>
    <row r="43" spans="1:8" ht="14.7" customHeight="1">
      <c r="A43" s="154" t="s">
        <v>39</v>
      </c>
      <c r="B43" s="33" t="s">
        <v>21</v>
      </c>
      <c r="C43" s="35">
        <f>$B$145</f>
        <v>90</v>
      </c>
      <c r="D43" s="35">
        <f>-$B$144/12/SUM($B$110:$B$112)</f>
        <v>-2.5719840112428605</v>
      </c>
      <c r="E43" s="34">
        <f t="shared" si="0"/>
        <v>1.1064862760258142E-3</v>
      </c>
      <c r="F43" s="33" t="s">
        <v>12</v>
      </c>
      <c r="G43" s="155">
        <f t="shared" si="1"/>
        <v>883.41849122796646</v>
      </c>
      <c r="H43" s="36"/>
    </row>
    <row r="44" spans="1:8" ht="14.7" customHeight="1">
      <c r="A44" s="154" t="s">
        <v>40</v>
      </c>
      <c r="B44" s="33" t="s">
        <v>21</v>
      </c>
      <c r="C44" s="35">
        <f>-D44</f>
        <v>0.20696241430100351</v>
      </c>
      <c r="D44" s="35">
        <f t="shared" ref="D44:D45" si="2">-20/12/SUM($B$110:$B$112)*50%</f>
        <v>-0.20696241430100351</v>
      </c>
      <c r="E44" s="34">
        <f t="shared" si="0"/>
        <v>8.9036739760512293E-5</v>
      </c>
      <c r="F44" s="33" t="s">
        <v>15</v>
      </c>
      <c r="G44" s="155">
        <f t="shared" si="1"/>
        <v>883.2115288136655</v>
      </c>
      <c r="H44" s="46" t="s">
        <v>41</v>
      </c>
    </row>
    <row r="45" spans="1:8" ht="14.7" customHeight="1">
      <c r="A45" s="154" t="s">
        <v>40</v>
      </c>
      <c r="B45" s="33" t="s">
        <v>21</v>
      </c>
      <c r="C45" s="35">
        <f>-D45</f>
        <v>0.20696241430100351</v>
      </c>
      <c r="D45" s="35">
        <f t="shared" si="2"/>
        <v>-0.20696241430100351</v>
      </c>
      <c r="E45" s="34">
        <f t="shared" si="0"/>
        <v>8.9036739760512293E-5</v>
      </c>
      <c r="F45" s="33" t="s">
        <v>10</v>
      </c>
      <c r="G45" s="155">
        <f t="shared" si="1"/>
        <v>883.00456639936453</v>
      </c>
      <c r="H45" s="46" t="s">
        <v>42</v>
      </c>
    </row>
    <row r="46" spans="1:8" ht="14.7" customHeight="1">
      <c r="A46" s="154" t="s">
        <v>43</v>
      </c>
      <c r="B46" s="33" t="s">
        <v>21</v>
      </c>
      <c r="C46" s="35">
        <f>-D46</f>
        <v>0.81322038359572868</v>
      </c>
      <c r="D46" s="35">
        <f>-(($B$164+$B$165+$B$166)*2)/12/SUM($B$110:$B$112)</f>
        <v>-0.81322038359572868</v>
      </c>
      <c r="E46" s="34">
        <f t="shared" si="0"/>
        <v>3.4985333886204954E-4</v>
      </c>
      <c r="F46" s="33" t="s">
        <v>15</v>
      </c>
      <c r="G46" s="155">
        <f t="shared" si="1"/>
        <v>882.19134601576877</v>
      </c>
      <c r="H46" s="36"/>
    </row>
    <row r="47" spans="1:8" ht="14.7" customHeight="1">
      <c r="A47" s="154" t="s">
        <v>44</v>
      </c>
      <c r="B47" s="33" t="s">
        <v>21</v>
      </c>
      <c r="C47" s="35">
        <f>-D47</f>
        <v>1.978144686264848</v>
      </c>
      <c r="D47" s="35">
        <f>-SUM(B167:B173)/12/SUM($B$110:$B$112)</f>
        <v>-1.978144686264848</v>
      </c>
      <c r="E47" s="34">
        <f t="shared" si="0"/>
        <v>8.5101226826357862E-4</v>
      </c>
      <c r="F47" s="33" t="s">
        <v>15</v>
      </c>
      <c r="G47" s="155">
        <f t="shared" si="1"/>
        <v>880.21320132950393</v>
      </c>
      <c r="H47" s="46" t="s">
        <v>45</v>
      </c>
    </row>
    <row r="48" spans="1:8" ht="14.7" customHeight="1">
      <c r="A48" s="156" t="s">
        <v>46</v>
      </c>
      <c r="B48" s="38" t="s">
        <v>21</v>
      </c>
      <c r="C48" s="40">
        <f>-D48</f>
        <v>2.3859248007862588</v>
      </c>
      <c r="D48" s="40">
        <f>-$B$146/12/SUM($B$110:$B$112)</f>
        <v>-2.3859248007862588</v>
      </c>
      <c r="E48" s="39">
        <f t="shared" si="0"/>
        <v>1.0264422469811138E-3</v>
      </c>
      <c r="F48" s="38" t="s">
        <v>12</v>
      </c>
      <c r="G48" s="157">
        <f>G47+D48</f>
        <v>877.82727652871768</v>
      </c>
      <c r="H48" s="29"/>
    </row>
    <row r="49" spans="1:8" ht="14.7" customHeight="1">
      <c r="A49" s="162" t="s">
        <v>47</v>
      </c>
      <c r="B49" s="42" t="s">
        <v>48</v>
      </c>
      <c r="C49" s="31">
        <f>-D49/G48</f>
        <v>6.1447387962226341E-4</v>
      </c>
      <c r="D49" s="32">
        <f>-(G48-G48/(($B$149/($B$147-$B$148))+1))</f>
        <v>-0.53940193224684663</v>
      </c>
      <c r="E49" s="31">
        <f t="shared" si="0"/>
        <v>2.3205464446278976E-4</v>
      </c>
      <c r="F49" s="30" t="s">
        <v>12</v>
      </c>
      <c r="G49" s="153">
        <f t="shared" si="1"/>
        <v>877.28787459647083</v>
      </c>
      <c r="H49" s="57" t="s">
        <v>49</v>
      </c>
    </row>
    <row r="50" spans="1:8" ht="14.7" customHeight="1">
      <c r="A50" s="160" t="s">
        <v>50</v>
      </c>
      <c r="B50" s="45" t="s">
        <v>48</v>
      </c>
      <c r="C50" s="34">
        <f>-D50/G48</f>
        <v>5.1765555519422426E-4</v>
      </c>
      <c r="D50" s="35">
        <f>-(G48-G48/((($B$150-$B$151)*$B$152/($B$147-$B$148))+1))</f>
        <v>-0.45441216619610714</v>
      </c>
      <c r="E50" s="34">
        <f t="shared" si="0"/>
        <v>1.9549142737951367E-4</v>
      </c>
      <c r="F50" s="33" t="s">
        <v>12</v>
      </c>
      <c r="G50" s="155">
        <f t="shared" si="1"/>
        <v>876.83346243027472</v>
      </c>
      <c r="H50" s="36"/>
    </row>
    <row r="51" spans="1:8" ht="14.7" customHeight="1">
      <c r="A51" s="160" t="s">
        <v>51</v>
      </c>
      <c r="B51" s="45" t="s">
        <v>48</v>
      </c>
      <c r="C51" s="34">
        <f>-D51/G48</f>
        <v>2.5781297044747455E-4</v>
      </c>
      <c r="D51" s="35">
        <f>-(G48-G48/(($B$151*$B$152/($B$147-$B$148))+1))</f>
        <v>-0.22631525770168537</v>
      </c>
      <c r="E51" s="34">
        <f t="shared" si="0"/>
        <v>9.7362474108519961E-5</v>
      </c>
      <c r="F51" s="33" t="s">
        <v>10</v>
      </c>
      <c r="G51" s="155">
        <f t="shared" si="1"/>
        <v>876.60714717257304</v>
      </c>
      <c r="H51" s="36"/>
    </row>
    <row r="52" spans="1:8" ht="14.7" customHeight="1">
      <c r="A52" s="160" t="s">
        <v>52</v>
      </c>
      <c r="B52" s="45" t="s">
        <v>48</v>
      </c>
      <c r="C52" s="34">
        <f>-D52/G48</f>
        <v>6.3793890656759964E-4</v>
      </c>
      <c r="D52" s="35">
        <f>-(G48-G48/(($B$174*4/($B$147-$B$148))+1))*75%</f>
        <v>-0.56000017294394411</v>
      </c>
      <c r="E52" s="34">
        <f t="shared" si="0"/>
        <v>2.4091615780890156E-4</v>
      </c>
      <c r="F52" s="33" t="s">
        <v>53</v>
      </c>
      <c r="G52" s="155">
        <f t="shared" si="1"/>
        <v>876.04714699962915</v>
      </c>
      <c r="H52" s="36"/>
    </row>
    <row r="53" spans="1:8" ht="14.7" customHeight="1">
      <c r="A53" s="160" t="s">
        <v>54</v>
      </c>
      <c r="B53" s="45" t="s">
        <v>48</v>
      </c>
      <c r="C53" s="34">
        <f>-D53/G48</f>
        <v>2.1264630218919989E-4</v>
      </c>
      <c r="D53" s="35">
        <f>-(G48-G48/(($B$174*4/($B$147-$B$148))+1))*25%</f>
        <v>-0.18666672431464804</v>
      </c>
      <c r="E53" s="34">
        <f t="shared" si="0"/>
        <v>8.0305385936300521E-5</v>
      </c>
      <c r="F53" s="33" t="s">
        <v>12</v>
      </c>
      <c r="G53" s="155">
        <f t="shared" si="1"/>
        <v>875.86048027531456</v>
      </c>
      <c r="H53" s="36"/>
    </row>
    <row r="54" spans="1:8" ht="14.7" customHeight="1">
      <c r="A54" s="160" t="s">
        <v>261</v>
      </c>
      <c r="B54" s="45" t="s">
        <v>48</v>
      </c>
      <c r="C54" s="34">
        <f>-D54/G48</f>
        <v>6.6819181285705347E-3</v>
      </c>
      <c r="D54" s="35">
        <f>-(G48-G48/(((B182)/($B$147-$B$148))+1))</f>
        <v>-5.8655699927909382</v>
      </c>
      <c r="E54" s="34">
        <f t="shared" si="0"/>
        <v>2.5234109814530922E-3</v>
      </c>
      <c r="F54" s="33" t="s">
        <v>12</v>
      </c>
      <c r="G54" s="155">
        <f t="shared" si="1"/>
        <v>869.99491028252362</v>
      </c>
      <c r="H54" s="36"/>
    </row>
    <row r="55" spans="1:8" ht="14.7" customHeight="1">
      <c r="A55" s="154" t="s">
        <v>55</v>
      </c>
      <c r="B55" s="45" t="s">
        <v>48</v>
      </c>
      <c r="C55" s="34">
        <f>-D55/G48</f>
        <v>2.2829721439005263E-2</v>
      </c>
      <c r="D55" s="35">
        <f>-(G48-G48/((($B$153+$B$154)/($B$147-$B$148))+1))</f>
        <v>-20.040552194711267</v>
      </c>
      <c r="E55" s="34">
        <f t="shared" si="0"/>
        <v>8.6215916858330671E-3</v>
      </c>
      <c r="F55" s="33" t="s">
        <v>12</v>
      </c>
      <c r="G55" s="163">
        <f t="shared" si="1"/>
        <v>849.95435808781235</v>
      </c>
      <c r="H55" s="36"/>
    </row>
    <row r="56" spans="1:8" ht="14.7" customHeight="1">
      <c r="A56" s="154" t="s">
        <v>56</v>
      </c>
      <c r="B56" s="45" t="s">
        <v>48</v>
      </c>
      <c r="C56" s="34">
        <f>-D56/G48</f>
        <v>2.5901280443520092E-3</v>
      </c>
      <c r="D56" s="35">
        <f>-(G48-G48/((($B$155)/($B$147-$B$148))+1))</f>
        <v>-2.2736850470341778</v>
      </c>
      <c r="E56" s="34">
        <f t="shared" si="0"/>
        <v>9.781558864873014E-4</v>
      </c>
      <c r="F56" s="33" t="s">
        <v>12</v>
      </c>
      <c r="G56" s="163">
        <f t="shared" si="1"/>
        <v>847.68067304077817</v>
      </c>
      <c r="H56" s="29"/>
    </row>
    <row r="57" spans="1:8" ht="14.7" customHeight="1">
      <c r="A57" s="154" t="s">
        <v>268</v>
      </c>
      <c r="B57" s="45" t="s">
        <v>48</v>
      </c>
      <c r="C57" s="34">
        <f>-D57/G48</f>
        <v>1.5640831787802521E-3</v>
      </c>
      <c r="D57" s="35">
        <f>-(G48-G48/((($B$156)/($B$147-$B$148))+1))*(1-B104)</f>
        <v>-1.372994877093048</v>
      </c>
      <c r="E57" s="34">
        <f t="shared" si="0"/>
        <v>5.9067240772740412E-4</v>
      </c>
      <c r="F57" s="33" t="s">
        <v>12</v>
      </c>
      <c r="G57" s="163">
        <f t="shared" si="1"/>
        <v>846.30767816368518</v>
      </c>
      <c r="H57" s="46" t="s">
        <v>57</v>
      </c>
    </row>
    <row r="58" spans="1:8" ht="14.7" customHeight="1">
      <c r="A58" s="156" t="s">
        <v>269</v>
      </c>
      <c r="B58" s="23" t="s">
        <v>48</v>
      </c>
      <c r="C58" s="39">
        <f>-D58/G48</f>
        <v>1.5798819987679313E-5</v>
      </c>
      <c r="D58" s="40">
        <f>-(G48-G48/((($B$156)/($B$147-$B$148))+1))*B104</f>
        <v>-1.3868635122152001E-2</v>
      </c>
      <c r="E58" s="39">
        <f t="shared" si="0"/>
        <v>5.9663879568424658E-6</v>
      </c>
      <c r="F58" s="38" t="s">
        <v>10</v>
      </c>
      <c r="G58" s="157">
        <f t="shared" si="1"/>
        <v>846.29380952856297</v>
      </c>
      <c r="H58" s="29"/>
    </row>
    <row r="59" spans="1:8" ht="14.7" customHeight="1">
      <c r="A59" s="152" t="s">
        <v>155</v>
      </c>
      <c r="B59" s="58"/>
      <c r="C59" s="43"/>
      <c r="D59" s="59">
        <f>-G58</f>
        <v>-846.29380952856297</v>
      </c>
      <c r="E59" s="60">
        <f t="shared" si="0"/>
        <v>0.36408176786311225</v>
      </c>
      <c r="F59" s="61"/>
      <c r="G59" s="153">
        <f t="shared" si="1"/>
        <v>0</v>
      </c>
      <c r="H59" s="36"/>
    </row>
    <row r="60" spans="1:8" ht="14.7" customHeight="1">
      <c r="A60" s="156" t="s">
        <v>58</v>
      </c>
      <c r="B60" s="62"/>
      <c r="C60" s="63"/>
      <c r="D60" s="41">
        <f>SUM(D4:D58)</f>
        <v>-1478.1670238047705</v>
      </c>
      <c r="E60" s="64">
        <f t="shared" si="0"/>
        <v>0.63591823213688792</v>
      </c>
      <c r="F60" s="65"/>
      <c r="G60" s="164"/>
      <c r="H60" s="52"/>
    </row>
    <row r="61" spans="1:8" ht="14.25" customHeight="1">
      <c r="A61" s="152" t="s">
        <v>59</v>
      </c>
      <c r="B61" s="58"/>
      <c r="C61" s="66"/>
      <c r="D61" s="32">
        <f>SUM(D59:D60)</f>
        <v>-2324.4608333333335</v>
      </c>
      <c r="E61" s="31">
        <f>SUM(E59:E60)</f>
        <v>1.0000000000000002</v>
      </c>
      <c r="F61" s="65"/>
      <c r="G61" s="164"/>
      <c r="H61" s="52"/>
    </row>
    <row r="62" spans="1:8" ht="14.25" customHeight="1">
      <c r="A62" s="178" t="s">
        <v>60</v>
      </c>
      <c r="B62" s="179"/>
      <c r="C62" s="179"/>
      <c r="D62" s="179"/>
      <c r="E62" s="179"/>
      <c r="F62" s="65"/>
      <c r="G62" s="164"/>
      <c r="H62" s="52"/>
    </row>
    <row r="63" spans="1:8" ht="15" customHeight="1">
      <c r="A63" s="165"/>
      <c r="B63" s="68"/>
      <c r="C63" s="69"/>
      <c r="D63" s="70"/>
      <c r="E63" s="71"/>
      <c r="F63" s="72"/>
      <c r="G63" s="166"/>
      <c r="H63" s="73"/>
    </row>
    <row r="64" spans="1:8" ht="15" customHeight="1">
      <c r="A64" s="167"/>
      <c r="B64" s="68"/>
      <c r="C64" s="69"/>
      <c r="D64" s="70"/>
      <c r="E64" s="71"/>
      <c r="F64" s="72"/>
      <c r="G64" s="166"/>
      <c r="H64" s="73"/>
    </row>
    <row r="65" spans="1:8" ht="15" customHeight="1">
      <c r="A65" s="167"/>
      <c r="B65" s="68"/>
      <c r="C65" s="69"/>
      <c r="D65" s="70"/>
      <c r="E65" s="71"/>
      <c r="F65" s="72"/>
      <c r="G65" s="166"/>
      <c r="H65" s="73"/>
    </row>
    <row r="66" spans="1:8" ht="15" customHeight="1">
      <c r="A66" s="167"/>
      <c r="B66" s="68"/>
      <c r="C66" s="69"/>
      <c r="D66" s="70"/>
      <c r="E66" s="71"/>
      <c r="F66" s="72"/>
      <c r="G66" s="166"/>
      <c r="H66" s="73"/>
    </row>
    <row r="67" spans="1:8" ht="15" customHeight="1">
      <c r="A67" s="168" t="str">
        <f>"Priemerná mzda patriaca zamestnancovi "&amp;ROUND(G3,2)&amp;" EUR (" &amp;$B$92&amp;" brutto)"</f>
        <v>Priemerná mzda patriaca zamestnancovi 2324,46 EUR (1620 brutto)</v>
      </c>
      <c r="B67" s="68"/>
      <c r="C67" s="69"/>
      <c r="D67" s="70"/>
      <c r="E67" s="71"/>
      <c r="F67" s="72"/>
      <c r="G67" s="166"/>
      <c r="H67" s="73"/>
    </row>
    <row r="68" spans="1:8" ht="15" customHeight="1">
      <c r="A68" s="169"/>
      <c r="B68" s="69"/>
      <c r="C68" s="69"/>
      <c r="D68" s="74"/>
      <c r="E68" s="71"/>
      <c r="F68" s="72"/>
      <c r="G68" s="166"/>
      <c r="H68" s="73"/>
    </row>
    <row r="69" spans="1:8" ht="15.75" customHeight="1">
      <c r="A69" s="170" t="s">
        <v>61</v>
      </c>
      <c r="B69" s="75"/>
      <c r="C69" s="76" t="s">
        <v>62</v>
      </c>
      <c r="D69" s="77" t="s">
        <v>63</v>
      </c>
      <c r="E69" s="78" t="s">
        <v>64</v>
      </c>
      <c r="F69" s="72"/>
      <c r="G69" s="166"/>
      <c r="H69" s="73"/>
    </row>
    <row r="70" spans="1:8" ht="15.75" customHeight="1">
      <c r="A70" s="171" t="s">
        <v>65</v>
      </c>
      <c r="B70" s="79"/>
      <c r="C70" s="80">
        <f>SUMIF(F4:F58,"štát",D4:D58)*-1</f>
        <v>1142.2928728932613</v>
      </c>
      <c r="D70" s="81">
        <f>SUMIF(F4:F58,"štát",E4:E58)</f>
        <v>0.49142272328812941</v>
      </c>
      <c r="E70" s="82">
        <f>D70/D$75</f>
        <v>0.77277659053239078</v>
      </c>
      <c r="F70" s="72"/>
      <c r="G70" s="166"/>
      <c r="H70" s="52"/>
    </row>
    <row r="71" spans="1:8" ht="15" customHeight="1">
      <c r="A71" s="172" t="s">
        <v>202</v>
      </c>
      <c r="B71" s="68"/>
      <c r="C71" s="83">
        <f>SUMIF(F4:F58,"obec",D4:D58)*-1</f>
        <v>145.71564832159223</v>
      </c>
      <c r="D71" s="84">
        <f>SUMIF(F4:F58,"obec",E4:E58)</f>
        <v>6.2687934437093709E-2</v>
      </c>
      <c r="E71" s="85">
        <f>D71/D$75</f>
        <v>9.857860848940013E-2</v>
      </c>
      <c r="F71" s="72"/>
      <c r="G71" s="166"/>
      <c r="H71" s="52"/>
    </row>
    <row r="72" spans="1:8" ht="15" customHeight="1">
      <c r="A72" s="172" t="s">
        <v>14</v>
      </c>
      <c r="B72" s="68"/>
      <c r="C72" s="83">
        <f>SUMIF(F4:F58,"VÚC",D4:D58)*-1</f>
        <v>47.517607783288824</v>
      </c>
      <c r="D72" s="84">
        <f>SUMIF(F4:F58,"VÚC",E4:E58)</f>
        <v>2.0442421357191647E-2</v>
      </c>
      <c r="E72" s="85">
        <f>D72/D$75</f>
        <v>3.2146304861394845E-2</v>
      </c>
      <c r="F72" s="72"/>
      <c r="G72" s="166"/>
      <c r="H72" s="52"/>
    </row>
    <row r="73" spans="1:8" ht="15" customHeight="1">
      <c r="A73" s="172" t="s">
        <v>66</v>
      </c>
      <c r="B73" s="68"/>
      <c r="C73" s="83">
        <f>SUMIF(F4:F58,"súkr. spol.",D4:D58)*-1</f>
        <v>142.08089463368358</v>
      </c>
      <c r="D73" s="84">
        <f>SUMIF(F4:F58,"súkr. spol.",E4:E58)</f>
        <v>6.1124236896663943E-2</v>
      </c>
      <c r="E73" s="85">
        <f>D73/D$75</f>
        <v>9.6119648419682915E-2</v>
      </c>
      <c r="F73" s="72"/>
      <c r="G73" s="166"/>
      <c r="H73" s="52"/>
    </row>
    <row r="74" spans="1:8" ht="15" customHeight="1">
      <c r="A74" s="173" t="s">
        <v>53</v>
      </c>
      <c r="B74" s="86"/>
      <c r="C74" s="87">
        <f>SUMIF(F4:F58,"EÚ",D4:D58)*-1</f>
        <v>0.56000017294394411</v>
      </c>
      <c r="D74" s="88">
        <f>SUMIF(F4:F58,"EÚ",E4:E58)</f>
        <v>2.4091615780890156E-4</v>
      </c>
      <c r="E74" s="89">
        <f>D74/D$75</f>
        <v>3.7884769713135386E-4</v>
      </c>
      <c r="F74" s="72"/>
      <c r="G74" s="166"/>
      <c r="H74" s="52"/>
    </row>
    <row r="75" spans="1:8" ht="15" customHeight="1">
      <c r="A75" s="171" t="s">
        <v>67</v>
      </c>
      <c r="B75" s="90"/>
      <c r="C75" s="91">
        <f>SUM(C70:C74)</f>
        <v>1478.16702380477</v>
      </c>
      <c r="D75" s="92">
        <f>SUM(D70:D74)</f>
        <v>0.63591823213688758</v>
      </c>
      <c r="E75" s="31">
        <f>SUM(E70:E74)</f>
        <v>1</v>
      </c>
      <c r="F75" s="93"/>
      <c r="G75" s="166"/>
      <c r="H75" s="52"/>
    </row>
    <row r="76" spans="1:8" ht="15" customHeight="1">
      <c r="A76" s="165"/>
      <c r="B76" s="68"/>
      <c r="C76" s="69"/>
      <c r="D76" s="74"/>
      <c r="E76" s="69"/>
      <c r="F76" s="72"/>
      <c r="G76" s="166"/>
      <c r="H76" s="52"/>
    </row>
    <row r="77" spans="1:8" ht="15" customHeight="1">
      <c r="A77" s="165"/>
      <c r="B77" s="68"/>
      <c r="C77" s="69"/>
      <c r="D77" s="74"/>
      <c r="E77" s="69"/>
      <c r="F77" s="72"/>
      <c r="G77" s="166"/>
      <c r="H77" s="52"/>
    </row>
    <row r="78" spans="1:8" ht="15" customHeight="1">
      <c r="A78" s="165"/>
      <c r="B78" s="94"/>
      <c r="C78" s="94"/>
      <c r="D78" s="95"/>
      <c r="E78" s="94"/>
      <c r="F78" s="95"/>
      <c r="G78" s="174"/>
      <c r="H78" s="52"/>
    </row>
    <row r="79" spans="1:8" ht="15.75" customHeight="1">
      <c r="A79" s="170" t="s">
        <v>68</v>
      </c>
      <c r="B79" s="75"/>
      <c r="C79" s="76" t="s">
        <v>62</v>
      </c>
      <c r="D79" s="77" t="s">
        <v>63</v>
      </c>
      <c r="E79" s="78" t="s">
        <v>64</v>
      </c>
      <c r="F79" s="95"/>
      <c r="G79" s="174"/>
      <c r="H79" s="52"/>
    </row>
    <row r="80" spans="1:8" ht="15.75" customHeight="1">
      <c r="A80" s="171" t="s">
        <v>69</v>
      </c>
      <c r="B80" s="79"/>
      <c r="C80" s="80">
        <f>SUMIF(B4:B58,"príjmová",D4:D58)*-1</f>
        <v>1072.3245259442961</v>
      </c>
      <c r="D80" s="81">
        <f>SUMIF(B4:B58,"príjmová",E4:E58)</f>
        <v>0.46132183023559786</v>
      </c>
      <c r="E80" s="82">
        <f>D80/D$84</f>
        <v>0.72544205673331574</v>
      </c>
      <c r="F80" s="95"/>
      <c r="G80" s="174"/>
      <c r="H80" s="52"/>
    </row>
    <row r="81" spans="1:8" ht="15" customHeight="1">
      <c r="A81" s="172" t="s">
        <v>70</v>
      </c>
      <c r="B81" s="68"/>
      <c r="C81" s="83">
        <f>SUMIF(B4:B58,"majetková",D4:D58)*-1</f>
        <v>32.277928647819095</v>
      </c>
      <c r="D81" s="84">
        <f>SUMIF(B4:B58,"majetková",E4:E58)</f>
        <v>1.3886200268443229E-2</v>
      </c>
      <c r="E81" s="85">
        <f>D81/D$84</f>
        <v>2.1836455642702958E-2</v>
      </c>
      <c r="F81" s="95"/>
      <c r="G81" s="174"/>
      <c r="H81" s="52"/>
    </row>
    <row r="82" spans="1:8" ht="15" customHeight="1">
      <c r="A82" s="172" t="s">
        <v>71</v>
      </c>
      <c r="B82" s="68"/>
      <c r="C82" s="83">
        <f>SUMIF(B4:B58,"spotrebná",D4:D58)*-1</f>
        <v>342.03110221249949</v>
      </c>
      <c r="D82" s="84">
        <f>SUMIF(B4:B58,"spotrebná",E4:E58)</f>
        <v>0.14714427419369278</v>
      </c>
      <c r="E82" s="85">
        <f>D82/D$84</f>
        <v>0.23138867036291946</v>
      </c>
      <c r="F82" s="95"/>
      <c r="G82" s="174"/>
      <c r="H82" s="52"/>
    </row>
    <row r="83" spans="1:8" ht="15" customHeight="1">
      <c r="A83" s="173" t="s">
        <v>72</v>
      </c>
      <c r="B83" s="86"/>
      <c r="C83" s="87">
        <f>SUMIF(B4:B58,"podnikat.",D4:D58)*-1</f>
        <v>31.533467000154815</v>
      </c>
      <c r="D83" s="88">
        <f>SUMIF(B4:B58,"podnikat.",E4:E58)</f>
        <v>1.3565927439153733E-2</v>
      </c>
      <c r="E83" s="89">
        <f>D83/D$84</f>
        <v>2.133281726106185E-2</v>
      </c>
      <c r="F83" s="95"/>
      <c r="G83" s="174"/>
      <c r="H83" s="52"/>
    </row>
    <row r="84" spans="1:8" ht="15" customHeight="1">
      <c r="A84" s="171" t="s">
        <v>67</v>
      </c>
      <c r="B84" s="90"/>
      <c r="C84" s="91">
        <f>SUM(C80:C83)</f>
        <v>1478.1670238047695</v>
      </c>
      <c r="D84" s="92">
        <f>SUM(D80:D83)</f>
        <v>0.63591823213688758</v>
      </c>
      <c r="E84" s="82">
        <f>SUM(E80:E83)</f>
        <v>1</v>
      </c>
      <c r="F84" s="95"/>
      <c r="G84" s="174"/>
      <c r="H84" s="52"/>
    </row>
    <row r="85" spans="1:8" ht="15" customHeight="1">
      <c r="A85" s="165"/>
      <c r="B85" s="94"/>
      <c r="C85" s="94"/>
      <c r="D85" s="95"/>
      <c r="E85" s="94"/>
      <c r="F85" s="95"/>
      <c r="G85" s="174"/>
      <c r="H85" s="52"/>
    </row>
    <row r="86" spans="1:8" ht="15" customHeight="1">
      <c r="A86" s="165"/>
      <c r="B86" s="94"/>
      <c r="C86" s="94"/>
      <c r="D86" s="95"/>
      <c r="E86" s="94"/>
      <c r="F86" s="95"/>
      <c r="G86" s="174"/>
      <c r="H86" s="52"/>
    </row>
    <row r="87" spans="1:8" ht="15" customHeight="1">
      <c r="A87" s="172" t="s">
        <v>73</v>
      </c>
      <c r="B87" s="94"/>
      <c r="C87" s="94"/>
      <c r="D87" s="95"/>
      <c r="E87" s="94"/>
      <c r="F87" s="95"/>
      <c r="G87" s="174"/>
      <c r="H87" s="52"/>
    </row>
    <row r="88" spans="1:8" ht="15" customHeight="1">
      <c r="A88" s="175" t="s">
        <v>74</v>
      </c>
      <c r="B88" s="180" t="s">
        <v>75</v>
      </c>
      <c r="C88" s="181"/>
      <c r="D88" s="182"/>
      <c r="E88" s="181"/>
      <c r="F88" s="176"/>
      <c r="G88" s="177"/>
      <c r="H88" s="52"/>
    </row>
    <row r="89" spans="1:8" ht="15" customHeight="1">
      <c r="A89" s="67"/>
      <c r="B89" s="94"/>
      <c r="C89" s="94"/>
      <c r="D89" s="95"/>
      <c r="E89" s="94"/>
      <c r="F89" s="95"/>
      <c r="G89" s="94"/>
      <c r="H89" s="52"/>
    </row>
    <row r="90" spans="1:8" ht="15" hidden="1" customHeight="1">
      <c r="A90" s="67"/>
      <c r="B90" s="94"/>
      <c r="C90" s="94"/>
      <c r="D90" s="95"/>
      <c r="E90" s="94"/>
      <c r="F90" s="95"/>
      <c r="G90" s="94"/>
      <c r="H90" s="52"/>
    </row>
    <row r="91" spans="1:8" ht="15" hidden="1" customHeight="1">
      <c r="A91" s="96" t="s">
        <v>185</v>
      </c>
      <c r="B91" s="94"/>
      <c r="C91" s="97" t="s">
        <v>187</v>
      </c>
      <c r="D91" s="95"/>
      <c r="E91" s="94"/>
      <c r="F91" s="95"/>
      <c r="G91" s="94"/>
      <c r="H91" s="52"/>
    </row>
    <row r="92" spans="1:8" ht="15" hidden="1" customHeight="1">
      <c r="A92" s="98" t="s">
        <v>76</v>
      </c>
      <c r="B92" s="99">
        <v>1620</v>
      </c>
      <c r="C92" s="20" t="s">
        <v>77</v>
      </c>
      <c r="D92" s="95"/>
      <c r="E92" s="94"/>
      <c r="F92" s="95"/>
      <c r="G92" s="94"/>
      <c r="H92" s="52"/>
    </row>
    <row r="93" spans="1:8" ht="15" hidden="1" customHeight="1">
      <c r="A93" s="98" t="s">
        <v>78</v>
      </c>
      <c r="B93" s="100">
        <v>0.36199999999999999</v>
      </c>
      <c r="C93" s="18" t="s">
        <v>247</v>
      </c>
      <c r="D93" s="95"/>
      <c r="E93" s="94"/>
      <c r="F93" s="95"/>
      <c r="G93" s="94"/>
      <c r="H93" s="52"/>
    </row>
    <row r="94" spans="1:8" ht="15" hidden="1" customHeight="1">
      <c r="A94" s="98" t="s">
        <v>174</v>
      </c>
      <c r="B94" s="100">
        <v>0.19</v>
      </c>
      <c r="C94" s="18" t="s">
        <v>249</v>
      </c>
      <c r="D94" s="95"/>
      <c r="E94" s="94"/>
      <c r="F94" s="95"/>
      <c r="G94" s="94"/>
      <c r="H94" s="52"/>
    </row>
    <row r="95" spans="1:8" ht="15" hidden="1" customHeight="1">
      <c r="A95" s="98" t="s">
        <v>175</v>
      </c>
      <c r="B95" s="99">
        <v>250</v>
      </c>
      <c r="C95" s="20" t="s">
        <v>246</v>
      </c>
      <c r="D95" s="95"/>
      <c r="E95" s="94"/>
      <c r="F95" s="95"/>
      <c r="G95" s="94"/>
      <c r="H95" s="52"/>
    </row>
    <row r="96" spans="1:8" ht="15" hidden="1" customHeight="1">
      <c r="A96" s="98" t="s">
        <v>79</v>
      </c>
      <c r="B96" s="101">
        <v>8.3000000000000007</v>
      </c>
      <c r="C96" s="20"/>
      <c r="D96" s="95"/>
      <c r="E96" s="94"/>
      <c r="F96" s="95"/>
      <c r="G96" s="94"/>
      <c r="H96" s="52"/>
    </row>
    <row r="97" spans="1:8" ht="15" hidden="1" customHeight="1">
      <c r="A97" s="98" t="s">
        <v>156</v>
      </c>
      <c r="B97" s="130">
        <v>0.55000000000000004</v>
      </c>
      <c r="C97" s="19" t="s">
        <v>210</v>
      </c>
      <c r="D97" s="95"/>
      <c r="E97" s="94"/>
      <c r="F97" s="95"/>
      <c r="G97" s="94"/>
      <c r="H97" s="52"/>
    </row>
    <row r="98" spans="1:8" ht="15" hidden="1" customHeight="1">
      <c r="A98" s="98" t="s">
        <v>80</v>
      </c>
      <c r="B98" s="100">
        <v>0.25200000000000006</v>
      </c>
      <c r="C98" s="18" t="s">
        <v>247</v>
      </c>
      <c r="D98" s="95"/>
      <c r="E98" s="94"/>
      <c r="F98" s="95"/>
      <c r="G98" s="94"/>
      <c r="H98" s="52"/>
    </row>
    <row r="99" spans="1:8" ht="15" hidden="1" customHeight="1">
      <c r="A99" s="98" t="s">
        <v>81</v>
      </c>
      <c r="B99" s="100">
        <v>9.4E-2</v>
      </c>
      <c r="C99" s="18" t="s">
        <v>247</v>
      </c>
      <c r="D99" s="95"/>
      <c r="E99" s="94"/>
      <c r="F99" s="95"/>
      <c r="G99" s="94"/>
      <c r="H99" s="52"/>
    </row>
    <row r="100" spans="1:8" ht="15" hidden="1" customHeight="1">
      <c r="A100" s="98" t="s">
        <v>82</v>
      </c>
      <c r="B100" s="131">
        <v>0.04</v>
      </c>
      <c r="C100" s="19" t="s">
        <v>248</v>
      </c>
      <c r="D100" s="95"/>
      <c r="E100" s="94"/>
      <c r="F100" s="95"/>
      <c r="G100" s="94"/>
      <c r="H100" s="52"/>
    </row>
    <row r="101" spans="1:8" ht="15" hidden="1" customHeight="1">
      <c r="A101" s="98" t="s">
        <v>83</v>
      </c>
      <c r="B101" s="131">
        <v>4.0000000000000001E-3</v>
      </c>
      <c r="C101" s="18" t="s">
        <v>262</v>
      </c>
      <c r="D101" s="95"/>
      <c r="E101" s="94"/>
      <c r="F101" s="95"/>
      <c r="G101" s="94"/>
      <c r="H101" s="52"/>
    </row>
    <row r="102" spans="1:8" ht="15" hidden="1" customHeight="1">
      <c r="A102" s="98" t="s">
        <v>84</v>
      </c>
      <c r="B102" s="100">
        <v>0.11</v>
      </c>
      <c r="C102" s="55" t="s">
        <v>176</v>
      </c>
      <c r="D102" s="95"/>
      <c r="E102" s="94"/>
      <c r="F102" s="95"/>
      <c r="G102" s="94"/>
      <c r="H102" s="52"/>
    </row>
    <row r="103" spans="1:8" ht="15" hidden="1" customHeight="1">
      <c r="A103" s="98" t="s">
        <v>85</v>
      </c>
      <c r="B103" s="100">
        <v>0.04</v>
      </c>
      <c r="C103" s="55" t="s">
        <v>176</v>
      </c>
      <c r="D103" s="95"/>
      <c r="E103" s="94"/>
      <c r="F103" s="95"/>
      <c r="G103" s="94"/>
      <c r="H103" s="52"/>
    </row>
    <row r="104" spans="1:8" ht="15" hidden="1" customHeight="1">
      <c r="A104" s="98" t="s">
        <v>86</v>
      </c>
      <c r="B104" s="102">
        <v>0.01</v>
      </c>
      <c r="C104" s="20" t="s">
        <v>183</v>
      </c>
      <c r="D104" s="95"/>
      <c r="E104" s="94"/>
      <c r="F104" s="95"/>
      <c r="G104" s="94"/>
      <c r="H104" s="52"/>
    </row>
    <row r="105" spans="1:8" ht="15" hidden="1" customHeight="1">
      <c r="A105" s="98" t="s">
        <v>87</v>
      </c>
      <c r="B105" s="99">
        <v>4981.7460000000001</v>
      </c>
      <c r="C105" s="20" t="s">
        <v>211</v>
      </c>
      <c r="D105" s="95"/>
      <c r="E105" s="94"/>
      <c r="F105" s="95"/>
      <c r="G105" s="94"/>
      <c r="H105" s="52"/>
    </row>
    <row r="106" spans="1:8" ht="15" hidden="1" customHeight="1">
      <c r="A106" s="98" t="s">
        <v>88</v>
      </c>
      <c r="B106" s="132">
        <v>2.621</v>
      </c>
      <c r="C106" s="20" t="s">
        <v>179</v>
      </c>
      <c r="D106" s="95"/>
      <c r="E106" s="94"/>
      <c r="F106" s="95"/>
      <c r="G106" s="94"/>
      <c r="H106" s="52"/>
    </row>
    <row r="107" spans="1:8" ht="15" hidden="1" customHeight="1">
      <c r="A107" s="98" t="s">
        <v>89</v>
      </c>
      <c r="B107" s="103">
        <v>0</v>
      </c>
      <c r="C107" s="18" t="s">
        <v>250</v>
      </c>
      <c r="D107" s="95"/>
      <c r="E107" s="94"/>
      <c r="F107" s="95"/>
      <c r="G107" s="94"/>
      <c r="H107" s="52"/>
    </row>
    <row r="108" spans="1:8" ht="15" hidden="1" customHeight="1">
      <c r="A108" s="98" t="s">
        <v>90</v>
      </c>
      <c r="B108" s="100">
        <v>0.3</v>
      </c>
      <c r="C108" s="18" t="s">
        <v>250</v>
      </c>
      <c r="D108" s="95"/>
      <c r="E108" s="94"/>
      <c r="F108" s="95"/>
      <c r="G108" s="94"/>
      <c r="H108" s="52"/>
    </row>
    <row r="109" spans="1:8" ht="15" hidden="1" customHeight="1">
      <c r="A109" s="98" t="s">
        <v>91</v>
      </c>
      <c r="B109" s="100">
        <v>0.7</v>
      </c>
      <c r="C109" s="18" t="s">
        <v>250</v>
      </c>
      <c r="D109" s="95"/>
      <c r="E109" s="94"/>
      <c r="F109" s="95"/>
      <c r="G109" s="94"/>
      <c r="H109" s="52"/>
    </row>
    <row r="110" spans="1:8" ht="15" hidden="1" customHeight="1">
      <c r="A110" s="98" t="s">
        <v>92</v>
      </c>
      <c r="B110" s="132">
        <v>2.705384</v>
      </c>
      <c r="C110" s="104" t="s">
        <v>212</v>
      </c>
      <c r="D110" s="95"/>
      <c r="E110" s="94"/>
      <c r="F110" s="95"/>
      <c r="G110" s="94"/>
      <c r="H110" s="52"/>
    </row>
    <row r="111" spans="1:8" ht="15" hidden="1" customHeight="1">
      <c r="A111" s="98" t="s">
        <v>93</v>
      </c>
      <c r="B111" s="132">
        <v>0.145644</v>
      </c>
      <c r="C111" s="104" t="s">
        <v>212</v>
      </c>
      <c r="D111" s="95"/>
      <c r="E111" s="94"/>
      <c r="F111" s="95"/>
      <c r="G111" s="94"/>
      <c r="H111" s="52"/>
    </row>
    <row r="112" spans="1:8" ht="15" hidden="1" customHeight="1">
      <c r="A112" s="98" t="s">
        <v>94</v>
      </c>
      <c r="B112" s="101">
        <v>1.175468</v>
      </c>
      <c r="C112" s="20"/>
      <c r="D112" s="95"/>
      <c r="E112" s="94"/>
      <c r="F112" s="95"/>
      <c r="G112" s="94"/>
      <c r="H112" s="52"/>
    </row>
    <row r="113" spans="1:8" ht="15" hidden="1" customHeight="1">
      <c r="A113" s="98" t="s">
        <v>95</v>
      </c>
      <c r="B113" s="132">
        <f>0.484517/0.52+0.005891+0.006336+0.007551+0.006246+0.005703+0.007825+0.006231</f>
        <v>0.97754646153846136</v>
      </c>
      <c r="C113" s="20" t="s">
        <v>256</v>
      </c>
      <c r="D113" s="95"/>
      <c r="E113" s="94"/>
      <c r="F113" s="95"/>
      <c r="G113" s="94"/>
      <c r="H113" s="52"/>
    </row>
    <row r="114" spans="1:8" ht="15" hidden="1" customHeight="1">
      <c r="A114" s="98" t="s">
        <v>96</v>
      </c>
      <c r="B114" s="132">
        <f>0.340415/0.337+0.011707+0.012368+0.012559+0.012993+0.013344+0.012114+0.010494</f>
        <v>1.09571253115727</v>
      </c>
      <c r="C114" s="20" t="s">
        <v>256</v>
      </c>
      <c r="D114" s="95"/>
      <c r="E114" s="94"/>
      <c r="F114" s="95"/>
      <c r="G114" s="94"/>
      <c r="H114" s="52"/>
    </row>
    <row r="115" spans="1:8" ht="15" hidden="1" customHeight="1">
      <c r="A115" s="98" t="s">
        <v>97</v>
      </c>
      <c r="B115" s="132">
        <v>69.7</v>
      </c>
      <c r="C115" s="104" t="s">
        <v>256</v>
      </c>
      <c r="D115" s="95"/>
      <c r="E115" s="94"/>
      <c r="F115" s="95"/>
      <c r="G115" s="94"/>
      <c r="H115" s="52"/>
    </row>
    <row r="116" spans="1:8" ht="15" hidden="1" customHeight="1">
      <c r="A116" s="98" t="s">
        <v>98</v>
      </c>
      <c r="B116" s="132">
        <v>118</v>
      </c>
      <c r="C116" s="104"/>
      <c r="D116" s="95"/>
      <c r="E116" s="94"/>
      <c r="F116" s="95"/>
      <c r="G116" s="94"/>
      <c r="H116" s="52"/>
    </row>
    <row r="117" spans="1:8" ht="15" hidden="1" customHeight="1">
      <c r="A117" s="98" t="s">
        <v>99</v>
      </c>
      <c r="B117" s="101">
        <v>1.0262500000000001</v>
      </c>
      <c r="C117" s="105" t="s">
        <v>177</v>
      </c>
      <c r="D117" s="95"/>
      <c r="E117" s="94"/>
      <c r="F117" s="95"/>
      <c r="G117" s="94"/>
      <c r="H117" s="52"/>
    </row>
    <row r="118" spans="1:8" ht="15" hidden="1" customHeight="1">
      <c r="A118" s="98" t="s">
        <v>100</v>
      </c>
      <c r="B118" s="101">
        <v>0.99500000000000011</v>
      </c>
      <c r="C118" s="105" t="s">
        <v>177</v>
      </c>
      <c r="D118" s="95"/>
      <c r="E118" s="94"/>
      <c r="F118" s="95"/>
      <c r="G118" s="94"/>
      <c r="H118" s="52"/>
    </row>
    <row r="119" spans="1:8" ht="15" hidden="1" customHeight="1">
      <c r="A119" s="98" t="s">
        <v>101</v>
      </c>
      <c r="B119" s="101">
        <v>5.4094069999999999</v>
      </c>
      <c r="C119" s="106" t="s">
        <v>157</v>
      </c>
      <c r="D119" s="95"/>
      <c r="E119" s="94"/>
      <c r="F119" s="95"/>
      <c r="G119" s="94"/>
      <c r="H119" s="52"/>
    </row>
    <row r="120" spans="1:8" ht="15" hidden="1" customHeight="1">
      <c r="A120" s="98" t="s">
        <v>102</v>
      </c>
      <c r="B120" s="101">
        <v>34.216250000000002</v>
      </c>
      <c r="C120" s="105" t="s">
        <v>177</v>
      </c>
      <c r="D120" s="95"/>
      <c r="E120" s="94"/>
      <c r="F120" s="95"/>
      <c r="G120" s="94"/>
      <c r="H120" s="52"/>
    </row>
    <row r="121" spans="1:8" ht="15" hidden="1" customHeight="1">
      <c r="A121" s="98" t="s">
        <v>103</v>
      </c>
      <c r="B121" s="101">
        <v>549.65099999999995</v>
      </c>
      <c r="C121" s="20" t="s">
        <v>211</v>
      </c>
      <c r="D121" s="95"/>
      <c r="E121" s="94"/>
      <c r="F121" s="95"/>
      <c r="G121" s="94"/>
      <c r="H121" s="52"/>
    </row>
    <row r="122" spans="1:8" ht="15" hidden="1" customHeight="1">
      <c r="A122" s="98" t="s">
        <v>104</v>
      </c>
      <c r="B122" s="101">
        <v>65346.573000000004</v>
      </c>
      <c r="C122" s="20" t="s">
        <v>178</v>
      </c>
      <c r="D122" s="107"/>
      <c r="E122" s="94"/>
      <c r="F122" s="95"/>
      <c r="G122" s="94"/>
      <c r="H122" s="52"/>
    </row>
    <row r="123" spans="1:8" ht="15" hidden="1" customHeight="1">
      <c r="A123" s="108" t="s">
        <v>190</v>
      </c>
      <c r="B123" s="101">
        <v>133.97423762337664</v>
      </c>
      <c r="C123" s="20" t="s">
        <v>213</v>
      </c>
      <c r="D123" s="109"/>
      <c r="E123" s="94"/>
      <c r="F123" s="95"/>
      <c r="G123" s="94"/>
      <c r="H123" s="52"/>
    </row>
    <row r="124" spans="1:8" ht="15" hidden="1" customHeight="1">
      <c r="A124" s="98" t="s">
        <v>225</v>
      </c>
      <c r="B124" s="110">
        <v>3.7601689999999999</v>
      </c>
      <c r="C124" s="20" t="s">
        <v>105</v>
      </c>
      <c r="D124" s="95"/>
      <c r="E124" s="94"/>
      <c r="F124" s="95"/>
      <c r="G124" s="94"/>
      <c r="H124" s="52"/>
    </row>
    <row r="125" spans="1:8" ht="15" hidden="1" customHeight="1">
      <c r="A125" s="98" t="s">
        <v>106</v>
      </c>
      <c r="B125" s="110">
        <v>0.91544000000000003</v>
      </c>
      <c r="C125" s="20" t="s">
        <v>166</v>
      </c>
      <c r="D125" s="95"/>
      <c r="E125" s="94"/>
      <c r="F125" s="95"/>
      <c r="G125" s="94"/>
      <c r="H125" s="52"/>
    </row>
    <row r="126" spans="1:8" ht="15" hidden="1" customHeight="1">
      <c r="A126" s="98" t="s">
        <v>107</v>
      </c>
      <c r="B126" s="110">
        <v>6.1830999999999997E-2</v>
      </c>
      <c r="C126" s="20" t="s">
        <v>167</v>
      </c>
      <c r="D126" s="95"/>
      <c r="E126" s="94"/>
      <c r="F126" s="95"/>
      <c r="G126" s="94"/>
      <c r="H126" s="52"/>
    </row>
    <row r="127" spans="1:8" ht="15" hidden="1" customHeight="1">
      <c r="A127" s="98" t="s">
        <v>108</v>
      </c>
      <c r="B127" s="110">
        <v>0.35435899999999998</v>
      </c>
      <c r="C127" s="19" t="s">
        <v>168</v>
      </c>
      <c r="D127" s="95"/>
      <c r="E127" s="94"/>
      <c r="F127" s="95"/>
      <c r="G127" s="94"/>
      <c r="H127" s="52"/>
    </row>
    <row r="128" spans="1:8" ht="15" hidden="1" customHeight="1">
      <c r="A128" s="98" t="s">
        <v>109</v>
      </c>
      <c r="B128" s="110">
        <v>0.72403421229205389</v>
      </c>
      <c r="C128" s="20" t="s">
        <v>105</v>
      </c>
      <c r="D128" s="111"/>
      <c r="E128" s="94"/>
      <c r="F128" s="95"/>
      <c r="G128" s="94"/>
      <c r="H128" s="52"/>
    </row>
    <row r="129" spans="1:8" ht="15" hidden="1" customHeight="1">
      <c r="A129" s="98" t="s">
        <v>110</v>
      </c>
      <c r="B129" s="125">
        <v>33</v>
      </c>
      <c r="C129" s="112" t="s">
        <v>258</v>
      </c>
      <c r="D129" s="95"/>
      <c r="E129" s="94"/>
      <c r="F129" s="95"/>
      <c r="G129" s="94"/>
      <c r="H129" s="52"/>
    </row>
    <row r="130" spans="1:8" ht="15" hidden="1" customHeight="1">
      <c r="A130" s="98" t="s">
        <v>111</v>
      </c>
      <c r="B130" s="125">
        <v>12</v>
      </c>
      <c r="C130" s="20" t="s">
        <v>214</v>
      </c>
      <c r="D130" s="95"/>
      <c r="E130" s="94"/>
      <c r="F130" s="95"/>
      <c r="G130" s="94"/>
      <c r="H130" s="52"/>
    </row>
    <row r="131" spans="1:8" ht="15" hidden="1" customHeight="1">
      <c r="A131" s="98" t="s">
        <v>192</v>
      </c>
      <c r="B131" s="101">
        <f>47+37</f>
        <v>84</v>
      </c>
      <c r="C131" s="20" t="s">
        <v>215</v>
      </c>
      <c r="D131" s="95"/>
      <c r="E131" s="94"/>
      <c r="F131" s="95"/>
      <c r="G131" s="94"/>
      <c r="H131" s="52"/>
    </row>
    <row r="132" spans="1:8" ht="15" hidden="1" customHeight="1">
      <c r="A132" s="98" t="s">
        <v>193</v>
      </c>
      <c r="B132" s="101">
        <v>110</v>
      </c>
      <c r="C132" s="20" t="s">
        <v>200</v>
      </c>
      <c r="D132" s="95"/>
      <c r="E132" s="94"/>
      <c r="F132" s="95"/>
      <c r="G132" s="94"/>
      <c r="H132" s="52"/>
    </row>
    <row r="133" spans="1:8" ht="15" hidden="1" customHeight="1">
      <c r="A133" s="98" t="s">
        <v>22</v>
      </c>
      <c r="B133" s="101">
        <v>264.64100000000002</v>
      </c>
      <c r="C133" s="20" t="s">
        <v>211</v>
      </c>
      <c r="D133" s="95"/>
      <c r="E133" s="94"/>
      <c r="F133" s="95"/>
      <c r="G133" s="94"/>
      <c r="H133" s="52"/>
    </row>
    <row r="134" spans="1:8" ht="15" hidden="1" customHeight="1">
      <c r="A134" s="98" t="s">
        <v>112</v>
      </c>
      <c r="B134" s="101">
        <v>369.92599999999999</v>
      </c>
      <c r="C134" s="20" t="s">
        <v>211</v>
      </c>
      <c r="D134" s="95"/>
      <c r="E134" s="94"/>
      <c r="F134" s="95"/>
      <c r="G134" s="94"/>
      <c r="H134" s="52"/>
    </row>
    <row r="135" spans="1:8" ht="15" hidden="1" customHeight="1">
      <c r="A135" s="108" t="s">
        <v>188</v>
      </c>
      <c r="B135" s="101">
        <v>14.392742</v>
      </c>
      <c r="C135" s="20" t="s">
        <v>216</v>
      </c>
      <c r="D135" s="95"/>
      <c r="E135" s="94"/>
      <c r="F135" s="95"/>
      <c r="G135" s="94"/>
      <c r="H135" s="52"/>
    </row>
    <row r="136" spans="1:8" ht="15" hidden="1" customHeight="1">
      <c r="A136" s="108" t="s">
        <v>194</v>
      </c>
      <c r="B136" s="101">
        <v>0</v>
      </c>
      <c r="C136" s="19" t="s">
        <v>217</v>
      </c>
      <c r="D136" s="95"/>
      <c r="E136" s="94"/>
      <c r="F136" s="95"/>
      <c r="G136" s="94"/>
      <c r="H136" s="52"/>
    </row>
    <row r="137" spans="1:8" ht="15" hidden="1" customHeight="1">
      <c r="A137" s="98" t="s">
        <v>113</v>
      </c>
      <c r="B137" s="101">
        <f>27.334/$B$119/12</f>
        <v>0.42108743774194352</v>
      </c>
      <c r="C137" s="20" t="s">
        <v>186</v>
      </c>
      <c r="D137" s="95"/>
      <c r="E137" s="94"/>
      <c r="F137" s="95"/>
      <c r="G137" s="94"/>
      <c r="H137" s="52"/>
    </row>
    <row r="138" spans="1:8" ht="15" hidden="1" customHeight="1">
      <c r="A138" s="98" t="s">
        <v>114</v>
      </c>
      <c r="B138" s="101">
        <f>((7.2383+9.2939+7.5221)/3)/1.2</f>
        <v>6.6817499999999992</v>
      </c>
      <c r="C138" s="19" t="s">
        <v>218</v>
      </c>
      <c r="D138" s="95"/>
      <c r="E138" s="94"/>
      <c r="F138" s="95"/>
      <c r="G138" s="94"/>
      <c r="H138" s="52"/>
    </row>
    <row r="139" spans="1:8" ht="15" hidden="1" customHeight="1">
      <c r="A139" s="98" t="s">
        <v>115</v>
      </c>
      <c r="B139" s="101">
        <f>(((0.161124+0.160776+0.170153)/3))/1.2*B137*1000</f>
        <v>57.554815834232357</v>
      </c>
      <c r="C139" s="19" t="s">
        <v>172</v>
      </c>
      <c r="D139" s="95"/>
      <c r="E139" s="94"/>
      <c r="F139" s="95"/>
      <c r="G139" s="94"/>
      <c r="H139" s="52"/>
    </row>
    <row r="140" spans="1:8" ht="15" hidden="1" customHeight="1">
      <c r="A140" s="98" t="s">
        <v>116</v>
      </c>
      <c r="B140" s="101">
        <v>3.55</v>
      </c>
      <c r="C140" s="20" t="s">
        <v>219</v>
      </c>
      <c r="D140" s="95"/>
      <c r="E140" s="94"/>
      <c r="F140" s="95"/>
      <c r="G140" s="94"/>
      <c r="H140" s="52"/>
    </row>
    <row r="141" spans="1:8" ht="15" hidden="1" customHeight="1">
      <c r="A141" s="98" t="s">
        <v>117</v>
      </c>
      <c r="B141" s="101">
        <f>0.06403*1000*B163/12</f>
        <v>62.681030023789084</v>
      </c>
      <c r="C141" s="20" t="s">
        <v>219</v>
      </c>
      <c r="D141" s="95"/>
      <c r="E141" s="94"/>
      <c r="F141" s="95"/>
      <c r="G141" s="94"/>
      <c r="H141" s="52"/>
    </row>
    <row r="142" spans="1:8" ht="15" hidden="1" customHeight="1">
      <c r="A142" s="98" t="s">
        <v>118</v>
      </c>
      <c r="B142" s="113">
        <v>975</v>
      </c>
      <c r="C142" s="19" t="s">
        <v>170</v>
      </c>
      <c r="D142" s="95"/>
      <c r="E142" s="94"/>
      <c r="F142" s="109" t="s">
        <v>171</v>
      </c>
      <c r="G142" s="94"/>
      <c r="H142" s="52"/>
    </row>
    <row r="143" spans="1:8" ht="15" hidden="1" customHeight="1">
      <c r="A143" s="98" t="s">
        <v>119</v>
      </c>
      <c r="B143" s="113">
        <v>110</v>
      </c>
      <c r="C143" s="19" t="s">
        <v>165</v>
      </c>
      <c r="D143" s="95"/>
      <c r="E143" s="94"/>
      <c r="F143" s="95"/>
      <c r="G143" s="94"/>
      <c r="H143" s="52"/>
    </row>
    <row r="144" spans="1:8" ht="15" hidden="1" customHeight="1">
      <c r="A144" s="98" t="s">
        <v>120</v>
      </c>
      <c r="B144" s="101">
        <v>124.273</v>
      </c>
      <c r="C144" s="20" t="s">
        <v>127</v>
      </c>
      <c r="D144" s="114"/>
      <c r="E144" s="115"/>
      <c r="F144" s="95"/>
      <c r="G144" s="94"/>
      <c r="H144" s="52"/>
    </row>
    <row r="145" spans="1:8" ht="15" hidden="1" customHeight="1">
      <c r="A145" s="108" t="s">
        <v>191</v>
      </c>
      <c r="B145" s="101">
        <v>90</v>
      </c>
      <c r="C145" s="19" t="s">
        <v>158</v>
      </c>
      <c r="D145" s="109"/>
      <c r="E145" s="94"/>
      <c r="F145" s="95"/>
      <c r="G145" s="94"/>
      <c r="H145" s="52"/>
    </row>
    <row r="146" spans="1:8" ht="15" hidden="1" customHeight="1">
      <c r="A146" s="98" t="s">
        <v>121</v>
      </c>
      <c r="B146" s="101">
        <v>115.283</v>
      </c>
      <c r="C146" s="20" t="s">
        <v>253</v>
      </c>
      <c r="D146" s="95"/>
      <c r="E146" s="94"/>
      <c r="F146" s="95"/>
      <c r="G146" s="94"/>
      <c r="H146" s="52"/>
    </row>
    <row r="147" spans="1:8" ht="15" hidden="1" customHeight="1">
      <c r="A147" s="98" t="s">
        <v>122</v>
      </c>
      <c r="B147" s="132">
        <v>278979.90000000002</v>
      </c>
      <c r="C147" s="116" t="s">
        <v>220</v>
      </c>
      <c r="D147" s="95"/>
      <c r="E147" s="94"/>
      <c r="F147" s="95"/>
      <c r="G147" s="94"/>
      <c r="H147" s="52"/>
    </row>
    <row r="148" spans="1:8" ht="15" hidden="1" customHeight="1">
      <c r="A148" s="98" t="s">
        <v>123</v>
      </c>
      <c r="B148" s="101">
        <v>65567.459000000003</v>
      </c>
      <c r="C148" s="20" t="s">
        <v>211</v>
      </c>
      <c r="D148" s="95"/>
      <c r="E148" s="94"/>
      <c r="F148" s="95"/>
      <c r="G148" s="94"/>
      <c r="H148" s="52"/>
    </row>
    <row r="149" spans="1:8" ht="15" hidden="1" customHeight="1">
      <c r="A149" s="98" t="s">
        <v>124</v>
      </c>
      <c r="B149" s="101">
        <v>131.21700000000001</v>
      </c>
      <c r="C149" s="20" t="s">
        <v>211</v>
      </c>
      <c r="D149" s="95"/>
      <c r="E149" s="94"/>
      <c r="F149" s="95"/>
      <c r="G149" s="94"/>
      <c r="H149" s="52"/>
    </row>
    <row r="150" spans="1:8" ht="15" hidden="1" customHeight="1">
      <c r="A150" s="98" t="s">
        <v>125</v>
      </c>
      <c r="B150" s="101">
        <v>305.69799999999998</v>
      </c>
      <c r="C150" s="20" t="s">
        <v>127</v>
      </c>
      <c r="D150" s="95"/>
      <c r="E150" s="94"/>
      <c r="F150" s="95"/>
      <c r="G150" s="94"/>
      <c r="H150" s="52"/>
    </row>
    <row r="151" spans="1:8" ht="15" hidden="1" customHeight="1">
      <c r="A151" s="98" t="s">
        <v>126</v>
      </c>
      <c r="B151" s="101">
        <v>101.61499999999999</v>
      </c>
      <c r="C151" s="20" t="s">
        <v>127</v>
      </c>
      <c r="D151" s="95"/>
      <c r="E151" s="94"/>
      <c r="F151" s="95"/>
      <c r="G151" s="94"/>
      <c r="H151" s="52"/>
    </row>
    <row r="152" spans="1:8" ht="15" hidden="1" customHeight="1">
      <c r="A152" s="98" t="s">
        <v>128</v>
      </c>
      <c r="B152" s="117">
        <v>0.54159999999999997</v>
      </c>
      <c r="C152" s="20" t="s">
        <v>127</v>
      </c>
      <c r="D152" s="95"/>
      <c r="E152" s="94"/>
      <c r="F152" s="95"/>
      <c r="G152" s="94"/>
      <c r="H152" s="52"/>
    </row>
    <row r="153" spans="1:8" ht="15" hidden="1" customHeight="1">
      <c r="A153" s="98" t="s">
        <v>129</v>
      </c>
      <c r="B153" s="101">
        <v>4796.8029999999999</v>
      </c>
      <c r="C153" s="20" t="s">
        <v>211</v>
      </c>
      <c r="D153" s="95"/>
      <c r="E153" s="94"/>
      <c r="F153" s="95"/>
      <c r="G153" s="94"/>
      <c r="H153" s="52"/>
    </row>
    <row r="154" spans="1:8" ht="15" hidden="1" customHeight="1">
      <c r="A154" s="98" t="s">
        <v>130</v>
      </c>
      <c r="B154" s="101">
        <v>189.172</v>
      </c>
      <c r="C154" s="20" t="s">
        <v>211</v>
      </c>
      <c r="D154" s="95"/>
      <c r="E154" s="94"/>
      <c r="F154" s="95"/>
      <c r="G154" s="94"/>
      <c r="H154" s="52"/>
    </row>
    <row r="155" spans="1:8" ht="15" hidden="1" customHeight="1">
      <c r="A155" s="98" t="s">
        <v>131</v>
      </c>
      <c r="B155" s="101">
        <v>554.20100000000002</v>
      </c>
      <c r="C155" s="20" t="s">
        <v>259</v>
      </c>
      <c r="D155" s="95"/>
      <c r="E155" s="94"/>
      <c r="F155" s="95"/>
      <c r="G155" s="94"/>
      <c r="H155" s="52"/>
    </row>
    <row r="156" spans="1:8" ht="15" hidden="1" customHeight="1">
      <c r="A156" s="98" t="s">
        <v>132</v>
      </c>
      <c r="B156" s="132">
        <v>337.7</v>
      </c>
      <c r="C156" s="20" t="s">
        <v>57</v>
      </c>
      <c r="D156" s="95"/>
      <c r="E156" s="94"/>
      <c r="F156" s="95"/>
      <c r="G156" s="94"/>
      <c r="H156" s="52"/>
    </row>
    <row r="157" spans="1:8" ht="15" hidden="1" customHeight="1">
      <c r="A157" s="98" t="s">
        <v>133</v>
      </c>
      <c r="B157" s="101">
        <v>86.210999999999999</v>
      </c>
      <c r="C157" s="20" t="s">
        <v>162</v>
      </c>
      <c r="D157" s="95"/>
      <c r="E157" s="94"/>
      <c r="F157" s="95"/>
      <c r="G157" s="94"/>
      <c r="H157" s="52"/>
    </row>
    <row r="158" spans="1:8" ht="15" hidden="1" customHeight="1">
      <c r="A158" s="98" t="s">
        <v>134</v>
      </c>
      <c r="B158" s="101">
        <v>3.2394466899999999</v>
      </c>
      <c r="C158" s="20" t="s">
        <v>263</v>
      </c>
      <c r="D158" s="95"/>
      <c r="E158" s="94"/>
      <c r="F158" s="95"/>
      <c r="G158" s="94"/>
      <c r="H158" s="52"/>
    </row>
    <row r="159" spans="1:8" ht="15" hidden="1" customHeight="1">
      <c r="A159" s="98" t="s">
        <v>135</v>
      </c>
      <c r="B159" s="110">
        <v>5.4959910000000001E-2</v>
      </c>
      <c r="C159" s="20" t="s">
        <v>189</v>
      </c>
      <c r="D159" s="95"/>
      <c r="E159" s="94"/>
      <c r="F159" s="95"/>
      <c r="G159" s="94"/>
      <c r="H159" s="52"/>
    </row>
    <row r="160" spans="1:8" ht="15" hidden="1" customHeight="1">
      <c r="A160" s="98" t="s">
        <v>136</v>
      </c>
      <c r="B160" s="101">
        <v>2.9073319999999998</v>
      </c>
      <c r="C160" s="133" t="s">
        <v>274</v>
      </c>
      <c r="D160" s="95"/>
      <c r="E160" s="94"/>
      <c r="F160" s="95"/>
      <c r="G160" s="94"/>
      <c r="H160" s="52"/>
    </row>
    <row r="161" spans="1:8" ht="15" hidden="1" customHeight="1">
      <c r="A161" s="98" t="s">
        <v>137</v>
      </c>
      <c r="B161" s="101">
        <v>0.34058021999999999</v>
      </c>
      <c r="C161" s="133" t="s">
        <v>273</v>
      </c>
      <c r="D161" s="95"/>
      <c r="E161" s="94"/>
      <c r="F161" s="95"/>
      <c r="G161" s="94"/>
      <c r="H161" s="52"/>
    </row>
    <row r="162" spans="1:8" ht="15" hidden="1" customHeight="1">
      <c r="A162" s="98" t="s">
        <v>138</v>
      </c>
      <c r="B162" s="101">
        <v>6.6013737699999995</v>
      </c>
      <c r="C162" s="19" t="s">
        <v>263</v>
      </c>
      <c r="D162" s="95"/>
      <c r="E162" s="94"/>
      <c r="F162" s="95"/>
      <c r="G162" s="94"/>
      <c r="H162" s="52"/>
    </row>
    <row r="163" spans="1:8" ht="15" hidden="1" customHeight="1">
      <c r="A163" s="98" t="s">
        <v>139</v>
      </c>
      <c r="B163" s="101">
        <f>47.3*1000000/((B110+B111+B112)*1000000)</f>
        <v>11.747186635724958</v>
      </c>
      <c r="C163" s="118">
        <v>8.4</v>
      </c>
      <c r="D163" s="94"/>
      <c r="E163" s="119"/>
      <c r="F163" s="95"/>
      <c r="G163" s="94"/>
      <c r="H163" s="52"/>
    </row>
    <row r="164" spans="1:8" ht="15" hidden="1" customHeight="1">
      <c r="A164" s="98" t="s">
        <v>140</v>
      </c>
      <c r="B164" s="101">
        <v>12.25151587</v>
      </c>
      <c r="C164" s="20" t="s">
        <v>164</v>
      </c>
      <c r="D164" s="95"/>
      <c r="E164" s="94"/>
      <c r="F164" s="95"/>
      <c r="G164" s="94"/>
      <c r="H164" s="52"/>
    </row>
    <row r="165" spans="1:8" ht="15" hidden="1" customHeight="1">
      <c r="A165" s="98" t="s">
        <v>141</v>
      </c>
      <c r="B165" s="101">
        <v>4.7455208600000001</v>
      </c>
      <c r="C165" s="20" t="s">
        <v>163</v>
      </c>
      <c r="D165" s="95"/>
      <c r="E165" s="94"/>
      <c r="F165" s="95"/>
      <c r="G165" s="94"/>
      <c r="H165" s="52"/>
    </row>
    <row r="166" spans="1:8" ht="15" hidden="1" customHeight="1">
      <c r="A166" s="98" t="s">
        <v>142</v>
      </c>
      <c r="B166" s="101">
        <v>2.6495350000000002</v>
      </c>
      <c r="C166" s="20" t="s">
        <v>264</v>
      </c>
      <c r="D166" s="95"/>
      <c r="E166" s="94"/>
      <c r="F166" s="95"/>
      <c r="G166" s="94"/>
      <c r="H166" s="52"/>
    </row>
    <row r="167" spans="1:8" ht="15" hidden="1" customHeight="1">
      <c r="A167" s="98" t="s">
        <v>143</v>
      </c>
      <c r="B167" s="101">
        <v>50.432442999999999</v>
      </c>
      <c r="C167" s="20" t="s">
        <v>159</v>
      </c>
      <c r="D167" s="95"/>
      <c r="E167" s="94"/>
      <c r="F167" s="95"/>
      <c r="G167" s="94"/>
      <c r="H167" s="52"/>
    </row>
    <row r="168" spans="1:8" ht="15" hidden="1" customHeight="1">
      <c r="A168" s="98" t="s">
        <v>144</v>
      </c>
      <c r="B168" s="101">
        <v>17.090855999999999</v>
      </c>
      <c r="C168" s="20" t="s">
        <v>145</v>
      </c>
      <c r="D168" s="95"/>
      <c r="E168" s="94"/>
      <c r="F168" s="95"/>
      <c r="G168" s="94"/>
      <c r="H168" s="52"/>
    </row>
    <row r="169" spans="1:8" ht="15" hidden="1" customHeight="1">
      <c r="A169" s="98" t="s">
        <v>146</v>
      </c>
      <c r="B169" s="101">
        <v>4.111961</v>
      </c>
      <c r="C169" s="20" t="s">
        <v>160</v>
      </c>
      <c r="D169" s="95"/>
      <c r="E169" s="94"/>
      <c r="F169" s="95"/>
      <c r="G169" s="94"/>
      <c r="H169" s="52"/>
    </row>
    <row r="170" spans="1:8" ht="15" hidden="1" customHeight="1">
      <c r="A170" s="98" t="s">
        <v>180</v>
      </c>
      <c r="B170" s="101">
        <v>6.2755890000000001</v>
      </c>
      <c r="C170" s="20" t="s">
        <v>181</v>
      </c>
      <c r="D170" s="95"/>
      <c r="E170" s="94"/>
      <c r="F170" s="95"/>
      <c r="G170" s="94"/>
      <c r="H170" s="52"/>
    </row>
    <row r="171" spans="1:8" ht="15" hidden="1" customHeight="1">
      <c r="A171" s="98" t="s">
        <v>147</v>
      </c>
      <c r="B171" s="101">
        <v>2.094487</v>
      </c>
      <c r="C171" s="20" t="s">
        <v>161</v>
      </c>
      <c r="D171" s="95"/>
      <c r="E171" s="94"/>
      <c r="F171" s="95"/>
      <c r="G171" s="94"/>
      <c r="H171" s="52"/>
    </row>
    <row r="172" spans="1:8" ht="15" hidden="1" customHeight="1">
      <c r="A172" s="98" t="s">
        <v>260</v>
      </c>
      <c r="B172" s="101">
        <v>10.574564000000001</v>
      </c>
      <c r="C172" s="20" t="s">
        <v>221</v>
      </c>
      <c r="D172" s="95"/>
      <c r="E172" s="94"/>
      <c r="F172" s="95"/>
      <c r="G172" s="94"/>
      <c r="H172" s="52"/>
    </row>
    <row r="173" spans="1:8" ht="15" hidden="1" customHeight="1">
      <c r="A173" s="98" t="s">
        <v>148</v>
      </c>
      <c r="B173" s="113">
        <v>5</v>
      </c>
      <c r="C173" s="94"/>
      <c r="D173" s="95"/>
      <c r="E173" s="94"/>
      <c r="F173" s="95"/>
      <c r="G173" s="94"/>
      <c r="H173" s="52"/>
    </row>
    <row r="174" spans="1:8" ht="15" hidden="1" customHeight="1">
      <c r="A174" s="98" t="s">
        <v>149</v>
      </c>
      <c r="B174" s="101">
        <v>45.42</v>
      </c>
      <c r="C174" s="104" t="s">
        <v>211</v>
      </c>
      <c r="D174" s="95"/>
      <c r="E174" s="94"/>
      <c r="F174" s="95"/>
      <c r="G174" s="94"/>
      <c r="H174" s="52"/>
    </row>
    <row r="175" spans="1:8" ht="15" hidden="1" customHeight="1">
      <c r="A175" s="98" t="s">
        <v>150</v>
      </c>
      <c r="B175" s="101">
        <v>86.210999999999999</v>
      </c>
      <c r="C175" s="20" t="s">
        <v>211</v>
      </c>
      <c r="D175" s="95"/>
      <c r="E175" s="94"/>
      <c r="F175" s="95"/>
      <c r="G175" s="94"/>
      <c r="H175" s="52"/>
    </row>
    <row r="176" spans="1:8" ht="15" hidden="1" customHeight="1">
      <c r="A176" s="98" t="s">
        <v>151</v>
      </c>
      <c r="B176" s="127">
        <v>0.189</v>
      </c>
      <c r="C176" s="20" t="s">
        <v>169</v>
      </c>
      <c r="D176" s="95"/>
      <c r="E176" s="94"/>
      <c r="F176" s="95"/>
      <c r="G176" s="94"/>
      <c r="H176" s="52"/>
    </row>
    <row r="177" spans="1:8" ht="15" hidden="1" customHeight="1">
      <c r="A177" s="98" t="s">
        <v>152</v>
      </c>
      <c r="B177" s="101">
        <v>54.2</v>
      </c>
      <c r="C177" s="20" t="s">
        <v>255</v>
      </c>
      <c r="D177" s="114"/>
      <c r="E177" s="94"/>
      <c r="F177" s="95"/>
      <c r="G177" s="94"/>
      <c r="H177" s="52"/>
    </row>
    <row r="178" spans="1:8" ht="15" hidden="1" customHeight="1">
      <c r="A178" s="98" t="s">
        <v>153</v>
      </c>
      <c r="B178" s="101">
        <v>7.4</v>
      </c>
      <c r="C178" s="20" t="s">
        <v>222</v>
      </c>
      <c r="D178" s="114"/>
      <c r="E178" s="94"/>
      <c r="F178" s="95"/>
      <c r="G178" s="94"/>
      <c r="H178" s="52"/>
    </row>
    <row r="179" spans="1:8" ht="15" hidden="1" customHeight="1">
      <c r="A179" s="98" t="s">
        <v>154</v>
      </c>
      <c r="B179" s="120">
        <f>7038/B119</f>
        <v>1301.0668267335034</v>
      </c>
      <c r="C179" s="20" t="s">
        <v>182</v>
      </c>
      <c r="D179" s="95"/>
      <c r="E179" s="94"/>
      <c r="F179" s="95"/>
      <c r="G179" s="94"/>
      <c r="H179" s="52"/>
    </row>
    <row r="180" spans="1:8" ht="15" hidden="1" customHeight="1">
      <c r="A180" s="98" t="s">
        <v>23</v>
      </c>
      <c r="B180" s="99">
        <v>14.47641</v>
      </c>
      <c r="C180" s="20" t="s">
        <v>257</v>
      </c>
      <c r="D180" s="95"/>
      <c r="E180" s="94"/>
      <c r="F180" s="95"/>
      <c r="G180" s="94"/>
      <c r="H180" s="52"/>
    </row>
    <row r="181" spans="1:8" ht="15" hidden="1" customHeight="1">
      <c r="A181" s="98" t="s">
        <v>24</v>
      </c>
      <c r="B181" s="101">
        <v>5</v>
      </c>
      <c r="C181" s="121" t="s">
        <v>173</v>
      </c>
      <c r="D181" s="122"/>
      <c r="E181" s="123"/>
      <c r="F181" s="122"/>
      <c r="G181" s="123"/>
      <c r="H181" s="124"/>
    </row>
    <row r="182" spans="1:8" ht="15" hidden="1" customHeight="1">
      <c r="A182" s="98" t="s">
        <v>278</v>
      </c>
      <c r="B182" s="101">
        <f>474.057+378.13+194.074+B200</f>
        <v>1435.597</v>
      </c>
      <c r="C182" s="20" t="s">
        <v>162</v>
      </c>
    </row>
    <row r="183" spans="1:8" ht="15" hidden="1" customHeight="1">
      <c r="A183" s="98" t="s">
        <v>184</v>
      </c>
      <c r="B183" s="101">
        <v>104.150817</v>
      </c>
      <c r="C183" s="20" t="s">
        <v>257</v>
      </c>
    </row>
    <row r="184" spans="1:8" ht="15" hidden="1" customHeight="1">
      <c r="A184" s="98" t="s">
        <v>196</v>
      </c>
      <c r="B184" s="134">
        <v>0</v>
      </c>
      <c r="C184" s="55" t="s">
        <v>197</v>
      </c>
    </row>
    <row r="185" spans="1:8" ht="15" hidden="1" customHeight="1">
      <c r="A185" s="98" t="s">
        <v>198</v>
      </c>
      <c r="B185" s="101">
        <v>275</v>
      </c>
      <c r="C185" s="18" t="s">
        <v>251</v>
      </c>
    </row>
    <row r="186" spans="1:8" ht="15" hidden="1" customHeight="1">
      <c r="A186" s="98" t="s">
        <v>199</v>
      </c>
      <c r="B186" s="101">
        <f>(((273.99*6+284.13*6)/12)*19.2)/12</f>
        <v>446.49600000000004</v>
      </c>
      <c r="C186" s="55" t="s">
        <v>223</v>
      </c>
    </row>
    <row r="187" spans="1:8" ht="15" hidden="1" customHeight="1"/>
    <row r="188" spans="1:8" ht="15" hidden="1" customHeight="1"/>
    <row r="189" spans="1:8" ht="15" hidden="1" customHeight="1">
      <c r="A189" s="7" t="s">
        <v>270</v>
      </c>
    </row>
    <row r="190" spans="1:8" ht="15" hidden="1" customHeight="1">
      <c r="A190" s="22" t="s">
        <v>203</v>
      </c>
    </row>
    <row r="191" spans="1:8" ht="15" hidden="1" customHeight="1">
      <c r="A191" s="22" t="s">
        <v>204</v>
      </c>
    </row>
    <row r="192" spans="1:8" ht="15" hidden="1" customHeight="1">
      <c r="A192" s="22" t="s">
        <v>205</v>
      </c>
    </row>
    <row r="193" spans="1:2" ht="15" hidden="1" customHeight="1">
      <c r="A193" s="22" t="s">
        <v>206</v>
      </c>
    </row>
    <row r="194" spans="1:2" ht="15" hidden="1" customHeight="1">
      <c r="A194" s="22" t="s">
        <v>207</v>
      </c>
    </row>
    <row r="195" spans="1:2" ht="15" hidden="1" customHeight="1">
      <c r="A195" s="22" t="s">
        <v>208</v>
      </c>
    </row>
    <row r="196" spans="1:2" ht="15" hidden="1" customHeight="1">
      <c r="A196" s="22" t="s">
        <v>209</v>
      </c>
    </row>
    <row r="197" spans="1:2" ht="15" hidden="1" customHeight="1">
      <c r="A197" s="22" t="s">
        <v>265</v>
      </c>
    </row>
    <row r="198" spans="1:2" ht="15" hidden="1" customHeight="1">
      <c r="A198" s="22" t="s">
        <v>266</v>
      </c>
    </row>
    <row r="199" spans="1:2" ht="15" hidden="1" customHeight="1">
      <c r="A199" s="22" t="s">
        <v>267</v>
      </c>
    </row>
    <row r="200" spans="1:2" ht="15" hidden="1" customHeight="1">
      <c r="A200" s="4" t="s">
        <v>271</v>
      </c>
      <c r="B200" s="128">
        <v>389.33600000000001</v>
      </c>
    </row>
    <row r="201" spans="1:2" ht="15" hidden="1" customHeight="1">
      <c r="A201" s="7" t="s">
        <v>272</v>
      </c>
      <c r="B201" s="129">
        <v>98.603999999999999</v>
      </c>
    </row>
    <row r="202" spans="1:2" ht="15" hidden="1" customHeight="1">
      <c r="A202" s="7" t="s">
        <v>275</v>
      </c>
      <c r="B202" s="7" t="s">
        <v>276</v>
      </c>
    </row>
  </sheetData>
  <mergeCells count="2">
    <mergeCell ref="A62:E62"/>
    <mergeCell ref="B88:E88"/>
  </mergeCells>
  <hyperlinks>
    <hyperlink ref="H8" r:id="rId1" xr:uid="{00000000-0004-0000-0000-000000000000}"/>
    <hyperlink ref="C129" r:id="rId2" xr:uid="{00000000-0004-0000-0000-000001000000}"/>
    <hyperlink ref="C130" r:id="rId3" display="http://www.minv.sk/?zmena-vlastnictva-vozidla" xr:uid="{00000000-0004-0000-0000-000002000000}"/>
    <hyperlink ref="C144" r:id="rId4" xr:uid="{00000000-0004-0000-0000-000003000000}"/>
    <hyperlink ref="C146" r:id="rId5" xr:uid="{00000000-0004-0000-0000-000004000000}"/>
    <hyperlink ref="C152" r:id="rId6" xr:uid="{00000000-0004-0000-0000-000005000000}"/>
    <hyperlink ref="C95" r:id="rId7" xr:uid="{00000000-0004-0000-0000-000006000000}"/>
    <hyperlink ref="C97" r:id="rId8" display="https://podpora.financnasprava.sk/181867-Stravovanie-zamestnancov" xr:uid="{00000000-0004-0000-0000-000007000000}"/>
    <hyperlink ref="C106" display="http://statdat.statistics.sk/cognosext/cgi-bin/cognos.cgi?b_action=cognosViewer&amp;ui.action=run&amp;ui.object=storeID(%22i42A8A014A687495596DC929810349606%22)&amp;ui.name=Pracuj%C3%BAci%20pod%C4%BEa%20veku%20%5Bpr3115qr%5D&amp;run.outputFormat=&amp;run.prompt=true&amp;cv.heade" xr:uid="{00000000-0004-0000-0000-000008000000}"/>
    <hyperlink ref="C104" r:id="rId9" xr:uid="{00000000-0004-0000-0000-000009000000}"/>
    <hyperlink ref="C145" display="https://eznamka.sk/selfcare/purchase/?sessionexpired=False&amp;frompayment=False&amp;sessionExpired=false&amp;frompayment=false&amp;screenWidth=1920&amp;agent=mozilla%2F5.0+(windows+nt+10.0%3B+win64%3B+x64)+applewebkit%2F537.36+(khtml%2C+like+gecko)+chrome%2F75.0.3770.100+sa" xr:uid="{00000000-0004-0000-0000-00000A000000}"/>
    <hyperlink ref="C153" r:id="rId10" xr:uid="{00000000-0004-0000-0000-00000B000000}"/>
    <hyperlink ref="C154" r:id="rId11" xr:uid="{00000000-0004-0000-0000-00000C000000}"/>
    <hyperlink ref="C156" display="http://statdat.statistics.sk/cognosext/cgi-bin/cognos.cgi?b_action=cognosViewer&amp;ui.action=run&amp;ui.object=storeID(%22iC47DE059516A434A9A7F9DC5ED37071C%22)&amp;ui.name=Povinn%C3%A9%20soci%C3%A1lne%20poistenie%20-%20pr%C3%ADjmy%20a%20v%C3%BDdavky%20-%20medziro%C4" xr:uid="{00000000-0004-0000-0000-00000D000000}"/>
    <hyperlink ref="C121" r:id="rId12" xr:uid="{00000000-0004-0000-0000-00000E000000}"/>
    <hyperlink ref="C143" r:id="rId13" xr:uid="{00000000-0004-0000-0000-00000F000000}"/>
    <hyperlink ref="C140" r:id="rId14" xr:uid="{00000000-0004-0000-0000-000010000000}"/>
    <hyperlink ref="C138" r:id="rId15" xr:uid="{00000000-0004-0000-0000-000011000000}"/>
    <hyperlink ref="C137" r:id="rId16" xr:uid="{00000000-0004-0000-0000-000012000000}"/>
    <hyperlink ref="C136" r:id="rId17" display="https://www.slov-lex.sk/pravne-predpisy/SK/ZZ/2012/340/" xr:uid="{00000000-0004-0000-0000-000013000000}"/>
    <hyperlink ref="C131" r:id="rId18" xr:uid="{00000000-0004-0000-0000-000014000000}"/>
    <hyperlink ref="C128" r:id="rId19" xr:uid="{00000000-0004-0000-0000-000015000000}"/>
    <hyperlink ref="C151" r:id="rId20" xr:uid="{00000000-0004-0000-0000-000016000000}"/>
    <hyperlink ref="C132" r:id="rId21" xr:uid="{00000000-0004-0000-0000-000017000000}"/>
    <hyperlink ref="C135" r:id="rId22" xr:uid="{00000000-0004-0000-0000-000018000000}"/>
    <hyperlink ref="C124" r:id="rId23" xr:uid="{00000000-0004-0000-0000-000019000000}"/>
    <hyperlink ref="C125" r:id="rId24" xr:uid="{00000000-0004-0000-0000-00001A000000}"/>
    <hyperlink ref="C126" r:id="rId25" xr:uid="{00000000-0004-0000-0000-00001B000000}"/>
    <hyperlink ref="C127" r:id="rId26" xr:uid="{00000000-0004-0000-0000-00001C000000}"/>
    <hyperlink ref="C123" r:id="rId27" xr:uid="{00000000-0004-0000-0000-00001D000000}"/>
    <hyperlink ref="C147" r:id="rId28" location="!/view/sk/VBD_INTERN/nu0007rs/v_nu0007rs_00_00_00_sk" display="http://datacube.statistics.sk/#!/view/sk/VBD_INTERN/nu0007rs/v_nu0007rs_00_00_00_sk" xr:uid="{00000000-0004-0000-0000-00001E000000}"/>
    <hyperlink ref="C149" r:id="rId29" xr:uid="{00000000-0004-0000-0000-00001F000000}"/>
    <hyperlink ref="C142" r:id="rId30" location="p5" xr:uid="{00000000-0004-0000-0000-000020000000}"/>
    <hyperlink ref="F142" r:id="rId31" xr:uid="{00000000-0004-0000-0000-000021000000}"/>
    <hyperlink ref="C141" r:id="rId32" xr:uid="{00000000-0004-0000-0000-000023000000}"/>
    <hyperlink ref="C139" r:id="rId33" xr:uid="{00000000-0004-0000-0000-000024000000}"/>
    <hyperlink ref="C100" r:id="rId34" xr:uid="{00000000-0004-0000-0000-000025000000}"/>
    <hyperlink ref="C150" r:id="rId35" xr:uid="{00000000-0004-0000-0000-000026000000}"/>
    <hyperlink ref="C105" r:id="rId36" xr:uid="{00000000-0004-0000-0000-000027000000}"/>
    <hyperlink ref="C122" r:id="rId37" xr:uid="{00000000-0004-0000-0000-000028000000}"/>
    <hyperlink ref="C94" r:id="rId38" xr:uid="{00000000-0004-0000-0000-000029000000}"/>
    <hyperlink ref="C114" r:id="rId39" location="!/view/sk/VBD_INTERN/st0003qs/v_st0003qs_00_00_00_sk" display="http://datacube.statistics.sk/#!/view/sk/VBD_INTERN/st0003qs/v_st0003qs_00_00_00_sk" xr:uid="{00000000-0004-0000-0000-00002C000000}"/>
    <hyperlink ref="C155" r:id="rId40" xr:uid="{00000000-0004-0000-0000-000030000000}"/>
    <hyperlink ref="C102" r:id="rId41" xr:uid="{00000000-0004-0000-0000-000031000000}"/>
    <hyperlink ref="C103" r:id="rId42" xr:uid="{00000000-0004-0000-0000-000032000000}"/>
    <hyperlink ref="C107" r:id="rId43" xr:uid="{00000000-0004-0000-0000-000033000000}"/>
    <hyperlink ref="C108" r:id="rId44" xr:uid="{00000000-0004-0000-0000-000034000000}"/>
    <hyperlink ref="C109" r:id="rId45" xr:uid="{00000000-0004-0000-0000-000035000000}"/>
    <hyperlink ref="C110" r:id="rId46" location="!/view/sk/VBD_SK_WIN/nu1024rs/v_nu1024rs_00_00_00_sk" xr:uid="{00000000-0004-0000-0000-000036000000}"/>
    <hyperlink ref="C111" r:id="rId47" location="!/view/sk/VBD_SK_WIN/nu1024rs/v_nu1024rs_00_00_00_sk" xr:uid="{00000000-0004-0000-0000-000037000000}"/>
    <hyperlink ref="C115" r:id="rId48" location="!/view/sk/VBD_SLOVSTAT/st2001rs/v_st2001rs_00_00_00_sk" display="http://datacube.statistics.sk/#!/view/sk/VBD_SLOVSTAT/st2001rs/v_st2001rs_00_00_00_sk" xr:uid="{00000000-0004-0000-0000-000038000000}"/>
    <hyperlink ref="C148" r:id="rId49" xr:uid="{00000000-0004-0000-0000-000039000000}"/>
    <hyperlink ref="C134" r:id="rId50" xr:uid="{00000000-0004-0000-0000-00003A000000}"/>
    <hyperlink ref="C133" r:id="rId51" xr:uid="{00000000-0004-0000-0000-00003B000000}"/>
    <hyperlink ref="C157" r:id="rId52" xr:uid="{00000000-0004-0000-0000-00003C000000}"/>
    <hyperlink ref="C164" r:id="rId53" xr:uid="{00000000-0004-0000-0000-00003D000000}"/>
    <hyperlink ref="C165" r:id="rId54" xr:uid="{00000000-0004-0000-0000-00003E000000}"/>
    <hyperlink ref="C167" r:id="rId55" xr:uid="{00000000-0004-0000-0000-00003F000000}"/>
    <hyperlink ref="C169" r:id="rId56" xr:uid="{00000000-0004-0000-0000-000040000000}"/>
    <hyperlink ref="C170" r:id="rId57" xr:uid="{00000000-0004-0000-0000-000041000000}"/>
    <hyperlink ref="C171" r:id="rId58" xr:uid="{00000000-0004-0000-0000-000042000000}"/>
    <hyperlink ref="C172" r:id="rId59" display="https://www.sadtn.sk/files/Vyrocna_%20sprava_2017.pdf" xr:uid="{00000000-0004-0000-0000-000043000000}"/>
    <hyperlink ref="C180" r:id="rId60" xr:uid="{00000000-0004-0000-0000-000044000000}"/>
    <hyperlink ref="C181" r:id="rId61" xr:uid="{00000000-0004-0000-0000-000045000000}"/>
    <hyperlink ref="C168" r:id="rId62" xr:uid="{00000000-0004-0000-0000-000046000000}"/>
    <hyperlink ref="C177" r:id="rId63" location="!/view/sk/VBD_SLOVSTAT/ps2041rs/v_ps2041rs_00_00_00_sk" xr:uid="{00000000-0004-0000-0000-000047000000}"/>
    <hyperlink ref="C178" r:id="rId64" display="www.statistics.sk" xr:uid="{00000000-0004-0000-0000-000048000000}"/>
    <hyperlink ref="C179" r:id="rId65" xr:uid="{00000000-0004-0000-0000-000049000000}"/>
    <hyperlink ref="C166" r:id="rId66" xr:uid="{00000000-0004-0000-0000-00004A000000}"/>
    <hyperlink ref="C161" r:id="rId67" xr:uid="{00000000-0004-0000-0000-00004B000000}"/>
    <hyperlink ref="C160" r:id="rId68" xr:uid="{00000000-0004-0000-0000-00004C000000}"/>
    <hyperlink ref="C176" r:id="rId69" xr:uid="{00000000-0004-0000-0000-00004E000000}"/>
    <hyperlink ref="C162" r:id="rId70" xr:uid="{00000000-0004-0000-0000-00004F000000}"/>
    <hyperlink ref="C182" r:id="rId71" xr:uid="{00000000-0004-0000-0000-000050000000}"/>
    <hyperlink ref="C159" r:id="rId72" xr:uid="{00000000-0004-0000-0000-000051000000}"/>
    <hyperlink ref="C158" r:id="rId73" xr:uid="{00000000-0004-0000-0000-000057000000}"/>
    <hyperlink ref="C184" r:id="rId74" xr:uid="{00000000-0004-0000-0000-000058000000}"/>
    <hyperlink ref="C183" r:id="rId75" xr:uid="{00000000-0004-0000-0000-000059000000}"/>
    <hyperlink ref="C185" r:id="rId76" xr:uid="{00000000-0004-0000-0000-00005A000000}"/>
    <hyperlink ref="C186" r:id="rId77" location="paragraf-11" xr:uid="{00000000-0004-0000-0000-00005B000000}"/>
    <hyperlink ref="C174" r:id="rId78" xr:uid="{00000000-0004-0000-0000-00005E000000}"/>
    <hyperlink ref="C175" r:id="rId79" xr:uid="{00000000-0004-0000-0000-00005F000000}"/>
    <hyperlink ref="C92" display="http://statdat.statistics.sk/cognosext/cgi-bin/cognos.cgi?b_action=cognosViewer&amp;ui.action=run&amp;ui.object=storeID(%22i94C7052B240A492FB3BE8C7A487D337B%22)&amp;ui.name=Priemern%C3%A1%20mesa%C4%8Dn%C3%A1%20mzda%20v%20hospod%C3%A1rstve%20SR%20%5Bpr0204qs%5D&amp;run.ou" xr:uid="{00000000-0004-0000-0000-000062000000}"/>
    <hyperlink ref="C101" r:id="rId80" xr:uid="{00000000-0004-0000-0000-000063000000}"/>
    <hyperlink ref="C99" r:id="rId81" xr:uid="{00000000-0004-0000-0000-000064000000}"/>
    <hyperlink ref="C98" r:id="rId82" xr:uid="{00000000-0004-0000-0000-000065000000}"/>
    <hyperlink ref="C93" r:id="rId83" xr:uid="{00000000-0004-0000-0000-000066000000}"/>
    <hyperlink ref="C113" r:id="rId84" location="!/view/sk/VBD_INTERN/st0003qs/v_st0003qs_00_00_00_sk" display="http://datacube.statistics.sk/#!/view/sk/VBD_INTERN/st0003qs/v_st0003qs_00_00_00_sk" xr:uid="{00000000-0004-0000-0000-000068000000}"/>
  </hyperlinks>
  <pageMargins left="0.24" right="0.24" top="0.17" bottom="0.17" header="0.17" footer="0.17"/>
  <pageSetup scale="85" orientation="portrait" r:id="rId85"/>
  <headerFooter>
    <oddFooter>&amp;C&amp;"Helvetica Neue,Regular"&amp;11&amp;K000000&amp;P</oddFooter>
  </headerFooter>
  <drawing r:id="rId8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D51"/>
  <sheetViews>
    <sheetView topLeftCell="A13" workbookViewId="0">
      <selection activeCell="C51" sqref="C51"/>
    </sheetView>
  </sheetViews>
  <sheetFormatPr defaultRowHeight="14.4"/>
  <cols>
    <col min="2" max="2" width="30.44140625" bestFit="1" customWidth="1"/>
    <col min="3" max="3" width="16.33203125" bestFit="1" customWidth="1"/>
    <col min="4" max="4" width="13.5546875" bestFit="1" customWidth="1"/>
  </cols>
  <sheetData>
    <row r="3" spans="2:4">
      <c r="B3" s="2" t="s">
        <v>228</v>
      </c>
      <c r="C3" s="2">
        <v>2025</v>
      </c>
      <c r="D3" s="2">
        <v>2025</v>
      </c>
    </row>
    <row r="4" spans="2:4">
      <c r="B4" s="2"/>
      <c r="C4" s="2"/>
      <c r="D4" s="2"/>
    </row>
    <row r="5" spans="2:4">
      <c r="B5" s="5" t="s">
        <v>231</v>
      </c>
      <c r="C5" s="6" t="s">
        <v>229</v>
      </c>
      <c r="D5" s="6" t="s">
        <v>230</v>
      </c>
    </row>
    <row r="6" spans="2:4">
      <c r="B6" s="6" t="s">
        <v>232</v>
      </c>
      <c r="C6" s="13">
        <v>1.25</v>
      </c>
      <c r="D6" s="13">
        <v>1.25</v>
      </c>
    </row>
    <row r="7" spans="2:4">
      <c r="B7" s="1" t="s">
        <v>233</v>
      </c>
      <c r="C7" s="14">
        <v>1</v>
      </c>
      <c r="D7" s="14">
        <v>1</v>
      </c>
    </row>
    <row r="8" spans="2:4">
      <c r="B8" s="1" t="s">
        <v>234</v>
      </c>
      <c r="C8" s="14">
        <v>0.75</v>
      </c>
      <c r="D8" s="14">
        <v>0.75</v>
      </c>
    </row>
    <row r="9" spans="2:4">
      <c r="B9" s="1" t="s">
        <v>235</v>
      </c>
      <c r="C9" s="14">
        <v>0.85</v>
      </c>
      <c r="D9" s="14">
        <v>0.95</v>
      </c>
    </row>
    <row r="10" spans="2:4">
      <c r="B10" s="1" t="s">
        <v>236</v>
      </c>
      <c r="C10" s="14">
        <v>1.2</v>
      </c>
      <c r="D10" s="14">
        <v>1.2</v>
      </c>
    </row>
    <row r="11" spans="2:4">
      <c r="B11" s="1" t="s">
        <v>237</v>
      </c>
      <c r="C11" s="14">
        <v>1</v>
      </c>
      <c r="D11" s="14">
        <v>0.65</v>
      </c>
    </row>
    <row r="12" spans="2:4">
      <c r="B12" s="1" t="s">
        <v>238</v>
      </c>
      <c r="C12" s="14">
        <v>0.95299999999999996</v>
      </c>
      <c r="D12" s="14">
        <v>0.95299999999999996</v>
      </c>
    </row>
    <row r="13" spans="2:4">
      <c r="B13" s="1" t="s">
        <v>239</v>
      </c>
      <c r="C13" s="13">
        <v>1.2070000000000001</v>
      </c>
      <c r="D13" s="13">
        <v>1.2070000000000001</v>
      </c>
    </row>
    <row r="14" spans="2:4">
      <c r="B14" s="6"/>
      <c r="C14" s="6"/>
      <c r="D14" s="6"/>
    </row>
    <row r="15" spans="2:4">
      <c r="B15" s="6"/>
      <c r="C15" s="1">
        <f t="shared" ref="C15:D15" si="0">AVERAGE(C6:C13)</f>
        <v>1.0262500000000001</v>
      </c>
      <c r="D15" s="1">
        <f t="shared" si="0"/>
        <v>0.99500000000000011</v>
      </c>
    </row>
    <row r="16" spans="2:4">
      <c r="B16" s="16" t="s">
        <v>240</v>
      </c>
      <c r="C16" s="16">
        <f>(C15*0.79)+(D15*0.21)</f>
        <v>1.0196875000000001</v>
      </c>
      <c r="D16" s="16"/>
    </row>
    <row r="17" spans="2:4">
      <c r="B17" s="16"/>
      <c r="C17" s="16"/>
      <c r="D17" s="16"/>
    </row>
    <row r="18" spans="2:4">
      <c r="B18" s="16"/>
      <c r="C18" s="2">
        <v>2025</v>
      </c>
      <c r="D18" s="2">
        <v>2025</v>
      </c>
    </row>
    <row r="19" spans="2:4">
      <c r="B19" s="5" t="s">
        <v>245</v>
      </c>
      <c r="C19" s="6" t="s">
        <v>229</v>
      </c>
      <c r="D19" s="6" t="s">
        <v>230</v>
      </c>
    </row>
    <row r="20" spans="2:4">
      <c r="B20" s="6" t="s">
        <v>232</v>
      </c>
      <c r="C20" s="7">
        <v>40</v>
      </c>
      <c r="D20" s="7">
        <v>20</v>
      </c>
    </row>
    <row r="21" spans="2:4">
      <c r="B21" s="1" t="s">
        <v>233</v>
      </c>
      <c r="C21" s="4">
        <v>35</v>
      </c>
      <c r="D21" s="4">
        <v>10</v>
      </c>
    </row>
    <row r="22" spans="2:4">
      <c r="B22" s="1" t="s">
        <v>234</v>
      </c>
      <c r="C22" s="4">
        <v>35</v>
      </c>
      <c r="D22" s="4">
        <v>12</v>
      </c>
    </row>
    <row r="23" spans="2:4">
      <c r="B23" s="1" t="s">
        <v>235</v>
      </c>
      <c r="C23" s="4">
        <v>37</v>
      </c>
      <c r="D23" s="4">
        <v>16</v>
      </c>
    </row>
    <row r="24" spans="2:4">
      <c r="B24" s="1" t="s">
        <v>236</v>
      </c>
      <c r="C24" s="4">
        <v>40</v>
      </c>
      <c r="D24" s="4">
        <v>10</v>
      </c>
    </row>
    <row r="25" spans="2:4">
      <c r="B25" s="1" t="s">
        <v>237</v>
      </c>
      <c r="C25" s="4">
        <v>36</v>
      </c>
      <c r="D25" s="4">
        <v>18</v>
      </c>
    </row>
    <row r="26" spans="2:4">
      <c r="B26" s="1" t="s">
        <v>238</v>
      </c>
      <c r="C26" s="4">
        <v>40</v>
      </c>
      <c r="D26" s="4">
        <v>20</v>
      </c>
    </row>
    <row r="27" spans="2:4">
      <c r="B27" s="1" t="s">
        <v>239</v>
      </c>
      <c r="C27" s="4">
        <v>50</v>
      </c>
      <c r="D27" s="4">
        <v>20</v>
      </c>
    </row>
    <row r="28" spans="2:4">
      <c r="B28" s="1"/>
      <c r="C28" s="1"/>
      <c r="D28" s="1"/>
    </row>
    <row r="29" spans="2:4">
      <c r="B29" s="1"/>
      <c r="C29" s="4">
        <f t="shared" ref="C29:D29" si="1">AVERAGE(C20:C27)</f>
        <v>39.125</v>
      </c>
      <c r="D29" s="4">
        <f t="shared" si="1"/>
        <v>15.75</v>
      </c>
    </row>
    <row r="30" spans="2:4">
      <c r="B30" s="6" t="s">
        <v>240</v>
      </c>
      <c r="C30" s="11">
        <f>(C29*0.79)+(D29*0.21)</f>
        <v>34.216250000000002</v>
      </c>
      <c r="D30" s="15"/>
    </row>
    <row r="31" spans="2:4">
      <c r="B31" s="6" t="s">
        <v>244</v>
      </c>
      <c r="C31" s="12">
        <f>C30/12</f>
        <v>2.8513541666666669</v>
      </c>
      <c r="D31" s="15"/>
    </row>
    <row r="33" spans="2:3">
      <c r="B33" s="5" t="s">
        <v>241</v>
      </c>
      <c r="C33" s="2">
        <v>2025</v>
      </c>
    </row>
    <row r="34" spans="2:3">
      <c r="B34" s="6" t="s">
        <v>242</v>
      </c>
      <c r="C34" s="13">
        <v>0.16589999999999999</v>
      </c>
    </row>
    <row r="35" spans="2:3">
      <c r="B35" s="6" t="s">
        <v>233</v>
      </c>
      <c r="C35" s="13">
        <v>0.105</v>
      </c>
    </row>
    <row r="36" spans="2:3">
      <c r="B36" s="6" t="s">
        <v>234</v>
      </c>
      <c r="C36" s="14">
        <v>0.14520547945205478</v>
      </c>
    </row>
    <row r="37" spans="2:3">
      <c r="B37" s="6" t="s">
        <v>235</v>
      </c>
      <c r="C37" s="14">
        <v>0.11219999999999999</v>
      </c>
    </row>
    <row r="38" spans="2:3">
      <c r="B38" s="1" t="s">
        <v>236</v>
      </c>
      <c r="C38" s="14">
        <v>0.13589999999999999</v>
      </c>
    </row>
    <row r="39" spans="2:3">
      <c r="B39" s="1" t="s">
        <v>237</v>
      </c>
      <c r="C39" s="14">
        <v>0.13</v>
      </c>
    </row>
    <row r="40" spans="2:3">
      <c r="B40" s="1" t="s">
        <v>238</v>
      </c>
      <c r="C40" s="14">
        <v>0.16159999999999999</v>
      </c>
    </row>
    <row r="41" spans="2:3">
      <c r="B41" s="1" t="s">
        <v>239</v>
      </c>
      <c r="C41" s="14">
        <v>0.17810000000000001</v>
      </c>
    </row>
    <row r="42" spans="2:3">
      <c r="B42" s="16" t="s">
        <v>243</v>
      </c>
      <c r="C42" s="12">
        <f>AVERAGE(C34:C41)</f>
        <v>0.14173818493150683</v>
      </c>
    </row>
    <row r="43" spans="2:3">
      <c r="B43" s="16"/>
      <c r="C43" s="17">
        <f>C42*365</f>
        <v>51.734437499999991</v>
      </c>
    </row>
    <row r="44" spans="2:3">
      <c r="B44" s="6" t="s">
        <v>244</v>
      </c>
      <c r="C44" s="16">
        <f>C42*365/12</f>
        <v>4.3112031249999996</v>
      </c>
    </row>
    <row r="46" spans="2:3">
      <c r="B46" s="8" t="s">
        <v>226</v>
      </c>
      <c r="C46" s="5"/>
    </row>
    <row r="47" spans="2:3">
      <c r="B47" s="7" t="s">
        <v>254</v>
      </c>
      <c r="C47" s="3">
        <v>515800814.85000002</v>
      </c>
    </row>
    <row r="48" spans="2:3">
      <c r="B48" s="7" t="s">
        <v>226</v>
      </c>
      <c r="C48" s="11">
        <f>C47/C51</f>
        <v>133.97423762337664</v>
      </c>
    </row>
    <row r="50" spans="2:3">
      <c r="B50" s="10" t="s">
        <v>227</v>
      </c>
      <c r="C50" s="1"/>
    </row>
    <row r="51" spans="2:3">
      <c r="B51" s="7" t="s">
        <v>277</v>
      </c>
      <c r="C51" s="9">
        <v>3850000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EB5F9-704B-4E26-AAC4-B836B37B52B2}">
  <dimension ref="A1:E32"/>
  <sheetViews>
    <sheetView topLeftCell="A10" workbookViewId="0">
      <selection activeCell="A20" sqref="A20"/>
    </sheetView>
  </sheetViews>
  <sheetFormatPr defaultRowHeight="14.4"/>
  <sheetData>
    <row r="1" spans="1:5">
      <c r="A1" t="s">
        <v>279</v>
      </c>
    </row>
    <row r="3" spans="1:5" ht="86.4">
      <c r="A3" s="135" t="s">
        <v>280</v>
      </c>
      <c r="B3" s="135" t="s">
        <v>281</v>
      </c>
      <c r="C3" s="135" t="s">
        <v>282</v>
      </c>
      <c r="D3" s="135" t="s">
        <v>283</v>
      </c>
      <c r="E3" s="135" t="s">
        <v>284</v>
      </c>
    </row>
    <row r="4" spans="1:5" ht="72">
      <c r="A4" s="136" t="s">
        <v>285</v>
      </c>
      <c r="B4" s="136" t="s">
        <v>286</v>
      </c>
      <c r="C4" s="137">
        <v>1</v>
      </c>
      <c r="D4" s="136" t="s">
        <v>287</v>
      </c>
      <c r="E4" s="136" t="s">
        <v>288</v>
      </c>
    </row>
    <row r="5" spans="1:5" ht="72">
      <c r="A5" s="136" t="s">
        <v>289</v>
      </c>
      <c r="B5" s="136" t="s">
        <v>290</v>
      </c>
      <c r="C5" s="137">
        <v>0.45</v>
      </c>
      <c r="D5" s="136" t="s">
        <v>291</v>
      </c>
      <c r="E5" s="136" t="s">
        <v>292</v>
      </c>
    </row>
    <row r="6" spans="1:5" ht="43.2">
      <c r="A6" s="136" t="s">
        <v>293</v>
      </c>
      <c r="B6" s="136" t="s">
        <v>294</v>
      </c>
      <c r="C6" s="137">
        <v>0.9</v>
      </c>
      <c r="D6" s="136" t="s">
        <v>295</v>
      </c>
      <c r="E6" s="136" t="s">
        <v>296</v>
      </c>
    </row>
    <row r="7" spans="1:5" ht="43.2">
      <c r="A7" s="136" t="s">
        <v>297</v>
      </c>
      <c r="B7" s="136" t="s">
        <v>298</v>
      </c>
      <c r="C7" s="137">
        <v>0.75</v>
      </c>
      <c r="D7" s="136" t="s">
        <v>295</v>
      </c>
      <c r="E7" s="136" t="s">
        <v>299</v>
      </c>
    </row>
    <row r="8" spans="1:5" ht="43.2">
      <c r="A8" s="136" t="s">
        <v>300</v>
      </c>
      <c r="B8" s="136" t="s">
        <v>301</v>
      </c>
      <c r="C8" s="137">
        <v>1</v>
      </c>
      <c r="D8" s="136" t="s">
        <v>302</v>
      </c>
      <c r="E8" s="136" t="s">
        <v>303</v>
      </c>
    </row>
    <row r="9" spans="1:5">
      <c r="A9" s="136" t="s">
        <v>304</v>
      </c>
      <c r="B9" s="136" t="s">
        <v>305</v>
      </c>
      <c r="C9" s="137">
        <v>0.95</v>
      </c>
      <c r="D9" s="136" t="s">
        <v>295</v>
      </c>
      <c r="E9" s="136" t="s">
        <v>306</v>
      </c>
    </row>
    <row r="10" spans="1:5" ht="86.4">
      <c r="A10" s="136" t="s">
        <v>307</v>
      </c>
      <c r="B10" s="136" t="s">
        <v>308</v>
      </c>
      <c r="C10" s="137">
        <v>1</v>
      </c>
      <c r="D10" s="136" t="s">
        <v>309</v>
      </c>
      <c r="E10" s="136" t="s">
        <v>310</v>
      </c>
    </row>
    <row r="11" spans="1:5" ht="28.8">
      <c r="A11" s="136" t="s">
        <v>311</v>
      </c>
      <c r="B11" s="136" t="s">
        <v>312</v>
      </c>
      <c r="C11" s="137">
        <v>1</v>
      </c>
      <c r="D11" s="136" t="s">
        <v>309</v>
      </c>
      <c r="E11" s="136" t="s">
        <v>313</v>
      </c>
    </row>
    <row r="12" spans="1:5" ht="28.8">
      <c r="A12" s="136" t="s">
        <v>314</v>
      </c>
      <c r="B12" s="136" t="s">
        <v>312</v>
      </c>
      <c r="C12" s="137">
        <v>0.45</v>
      </c>
      <c r="D12" s="136" t="s">
        <v>315</v>
      </c>
      <c r="E12" s="136" t="s">
        <v>316</v>
      </c>
    </row>
    <row r="13" spans="1:5" ht="43.2">
      <c r="A13" s="136" t="s">
        <v>317</v>
      </c>
      <c r="B13" s="136" t="s">
        <v>318</v>
      </c>
      <c r="C13" s="137">
        <v>1</v>
      </c>
      <c r="D13" s="136" t="s">
        <v>309</v>
      </c>
      <c r="E13" s="136" t="s">
        <v>319</v>
      </c>
    </row>
    <row r="14" spans="1:5" ht="28.8">
      <c r="A14" s="136" t="s">
        <v>320</v>
      </c>
      <c r="B14" s="136" t="s">
        <v>321</v>
      </c>
      <c r="C14" s="137">
        <v>0.95</v>
      </c>
      <c r="D14" s="136" t="s">
        <v>309</v>
      </c>
      <c r="E14" s="136" t="s">
        <v>322</v>
      </c>
    </row>
    <row r="15" spans="1:5" ht="28.8">
      <c r="A15" s="136" t="s">
        <v>323</v>
      </c>
      <c r="B15" s="136" t="s">
        <v>324</v>
      </c>
      <c r="C15" s="137">
        <v>0.15</v>
      </c>
      <c r="D15" s="136" t="s">
        <v>325</v>
      </c>
      <c r="E15" s="136" t="s">
        <v>326</v>
      </c>
    </row>
    <row r="16" spans="1:5" ht="43.2">
      <c r="A16" s="138" t="s">
        <v>59</v>
      </c>
      <c r="B16" s="139">
        <v>1</v>
      </c>
      <c r="C16" s="138" t="s">
        <v>327</v>
      </c>
      <c r="D16" s="136"/>
      <c r="E16" s="138" t="s">
        <v>328</v>
      </c>
    </row>
    <row r="18" spans="1:1">
      <c r="A18" t="s">
        <v>329</v>
      </c>
    </row>
    <row r="20" spans="1:1">
      <c r="A20" t="s">
        <v>330</v>
      </c>
    </row>
    <row r="22" spans="1:1">
      <c r="A22" t="s">
        <v>331</v>
      </c>
    </row>
    <row r="24" spans="1:1">
      <c r="A24" t="s">
        <v>332</v>
      </c>
    </row>
    <row r="26" spans="1:1">
      <c r="A26" t="s">
        <v>333</v>
      </c>
    </row>
    <row r="28" spans="1:1">
      <c r="A28" t="s">
        <v>334</v>
      </c>
    </row>
    <row r="30" spans="1:1" ht="23.4">
      <c r="A30" s="140" t="s">
        <v>335</v>
      </c>
    </row>
    <row r="31" spans="1:1">
      <c r="A31" s="141"/>
    </row>
    <row r="32" spans="1:1">
      <c r="A32" s="142" t="s">
        <v>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Výpočet</vt:lpstr>
      <vt:lpstr>výpočty</vt:lpstr>
      <vt:lpstr>DPH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Andrea Gondová</dc:creator>
  <cp:lastModifiedBy>Peter Gonda</cp:lastModifiedBy>
  <cp:lastPrinted>2024-08-19T17:02:59Z</cp:lastPrinted>
  <dcterms:created xsi:type="dcterms:W3CDTF">2018-08-12T17:39:09Z</dcterms:created>
  <dcterms:modified xsi:type="dcterms:W3CDTF">2026-08-19T14:49:49Z</dcterms:modified>
</cp:coreProperties>
</file>